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600" windowWidth="24075" windowHeight="11760" tabRatio="553"/>
  </bookViews>
  <sheets>
    <sheet name="РПЗ" sheetId="1" r:id="rId1"/>
    <sheet name="РПЦЗ" sheetId="7" r:id="rId2"/>
    <sheet name="ПП" sheetId="4" r:id="rId3"/>
    <sheet name="Отчет РПЗ(ПЗ)_ПЗИП" sheetId="2" r:id="rId4"/>
    <sheet name="Отчет о ПП" sheetId="5" r:id="rId5"/>
    <sheet name="Сведения о ЗД" sheetId="6" r:id="rId6"/>
    <sheet name="Справочно" sheetId="3" r:id="rId7"/>
    <sheet name="Коды заказчиков" sheetId="8" r:id="rId8"/>
  </sheets>
  <externalReferences>
    <externalReference r:id="rId9"/>
    <externalReference r:id="rId10"/>
  </externalReferences>
  <definedNames>
    <definedName name="_xlnm._FilterDatabase" localSheetId="0" hidden="1">РПЗ!$K$2:$K$223</definedName>
    <definedName name="Диапазон1">РПЗ!$A:$A</definedName>
  </definedNames>
  <calcPr calcId="145621"/>
</workbook>
</file>

<file path=xl/calcChain.xml><?xml version="1.0" encoding="utf-8"?>
<calcChain xmlns="http://schemas.openxmlformats.org/spreadsheetml/2006/main">
  <c r="D17" i="2" l="1"/>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16"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D226"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O51" i="2"/>
  <c r="AO52" i="2"/>
  <c r="AO53" i="2"/>
  <c r="AO54" i="2"/>
  <c r="AO55" i="2"/>
  <c r="AO56" i="2"/>
  <c r="AO57" i="2"/>
  <c r="AO58" i="2"/>
  <c r="AO59" i="2"/>
  <c r="AO60" i="2"/>
  <c r="AO61" i="2"/>
  <c r="AO62" i="2"/>
  <c r="AO63" i="2"/>
  <c r="AO64" i="2"/>
  <c r="AO65" i="2"/>
  <c r="AO66" i="2"/>
  <c r="AO67"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0" i="2"/>
  <c r="AO111" i="2"/>
  <c r="AO112" i="2"/>
  <c r="AO113" i="2"/>
  <c r="AO114" i="2"/>
  <c r="AO115" i="2"/>
  <c r="AO116" i="2"/>
  <c r="AO117" i="2"/>
  <c r="AO118" i="2"/>
  <c r="AO119" i="2"/>
  <c r="AO120" i="2"/>
  <c r="AO121" i="2"/>
  <c r="AO122" i="2"/>
  <c r="AO123" i="2"/>
  <c r="AO124" i="2"/>
  <c r="AO125" i="2"/>
  <c r="AO126" i="2"/>
  <c r="AO127" i="2"/>
  <c r="AO128" i="2"/>
  <c r="AO129" i="2"/>
  <c r="AO130" i="2"/>
  <c r="AO131" i="2"/>
  <c r="AO132" i="2"/>
  <c r="AO133" i="2"/>
  <c r="AO134" i="2"/>
  <c r="AO135" i="2"/>
  <c r="AO136" i="2"/>
  <c r="AO137" i="2"/>
  <c r="AO138" i="2"/>
  <c r="AO139" i="2"/>
  <c r="AO140" i="2"/>
  <c r="AO141" i="2"/>
  <c r="AO142" i="2"/>
  <c r="AO143" i="2"/>
  <c r="AO144" i="2"/>
  <c r="AO145" i="2"/>
  <c r="AO146" i="2"/>
  <c r="AO147" i="2"/>
  <c r="AO148" i="2"/>
  <c r="AO149" i="2"/>
  <c r="AO150" i="2"/>
  <c r="AO151" i="2"/>
  <c r="AO152" i="2"/>
  <c r="AO153" i="2"/>
  <c r="AO154" i="2"/>
  <c r="AO155" i="2"/>
  <c r="AO156" i="2"/>
  <c r="AO157" i="2"/>
  <c r="AO158" i="2"/>
  <c r="AO159" i="2"/>
  <c r="AO160" i="2"/>
  <c r="AO161" i="2"/>
  <c r="AO162" i="2"/>
  <c r="AO163" i="2"/>
  <c r="AO164" i="2"/>
  <c r="AO165" i="2"/>
  <c r="AO166" i="2"/>
  <c r="AO167" i="2"/>
  <c r="AO168" i="2"/>
  <c r="AO169" i="2"/>
  <c r="AO170" i="2"/>
  <c r="AO171" i="2"/>
  <c r="AO172" i="2"/>
  <c r="AO173" i="2"/>
  <c r="AO174" i="2"/>
  <c r="AO175" i="2"/>
  <c r="AO176" i="2"/>
  <c r="AO177" i="2"/>
  <c r="AO178" i="2"/>
  <c r="AO179" i="2"/>
  <c r="AO180" i="2"/>
  <c r="AO181" i="2"/>
  <c r="AO182" i="2"/>
  <c r="AO183" i="2"/>
  <c r="AO184" i="2"/>
  <c r="AO185" i="2"/>
  <c r="AO186" i="2"/>
  <c r="AO187" i="2"/>
  <c r="AO188" i="2"/>
  <c r="AO189" i="2"/>
  <c r="AO190" i="2"/>
  <c r="AO191" i="2"/>
  <c r="AO192" i="2"/>
  <c r="AO193" i="2"/>
  <c r="AO194" i="2"/>
  <c r="AO195" i="2"/>
  <c r="AO196" i="2"/>
  <c r="AO197" i="2"/>
  <c r="AO198" i="2"/>
  <c r="AO199" i="2"/>
  <c r="AO200" i="2"/>
  <c r="AO201" i="2"/>
  <c r="AO202" i="2"/>
  <c r="AO203" i="2"/>
  <c r="AO204" i="2"/>
  <c r="AO205" i="2"/>
  <c r="AO206" i="2"/>
  <c r="AO207" i="2"/>
  <c r="AO208" i="2"/>
  <c r="AO209" i="2"/>
  <c r="AO210" i="2"/>
  <c r="AO211" i="2"/>
  <c r="AO212" i="2"/>
  <c r="AO213" i="2"/>
  <c r="AO214" i="2"/>
  <c r="AO215" i="2"/>
  <c r="AO216" i="2"/>
  <c r="AO217" i="2"/>
  <c r="AO218" i="2"/>
  <c r="AO219" i="2"/>
  <c r="AO220" i="2"/>
  <c r="AO221" i="2"/>
  <c r="AO222" i="2"/>
  <c r="AO223" i="2"/>
  <c r="AO224" i="2"/>
  <c r="AO225" i="2"/>
  <c r="AO226"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C6" i="6" l="1"/>
  <c r="C7" i="6"/>
  <c r="C8" i="6"/>
  <c r="C9" i="6"/>
  <c r="C10" i="6"/>
  <c r="C11" i="6"/>
  <c r="C5" i="6"/>
  <c r="S50" i="5"/>
  <c r="S29" i="5"/>
  <c r="S30" i="5"/>
  <c r="S31" i="5"/>
  <c r="S32" i="5"/>
  <c r="S33" i="5"/>
  <c r="S34" i="5"/>
  <c r="S35" i="5"/>
  <c r="S36" i="5"/>
  <c r="S37" i="5"/>
  <c r="S38" i="5"/>
  <c r="S39" i="5"/>
  <c r="S40" i="5"/>
  <c r="S41" i="5"/>
  <c r="S42" i="5"/>
  <c r="S43" i="5"/>
  <c r="S44" i="5"/>
  <c r="S45" i="5"/>
  <c r="S46" i="5"/>
  <c r="S47" i="5"/>
  <c r="S28" i="5"/>
  <c r="F17" i="5"/>
  <c r="G17" i="5"/>
  <c r="C17" i="5"/>
  <c r="E17" i="5" s="1"/>
  <c r="Q59" i="5"/>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BS50" i="5"/>
  <c r="BQ50" i="5"/>
  <c r="BO50" i="5"/>
  <c r="BM50" i="5"/>
  <c r="BK50" i="5"/>
  <c r="BI50" i="5"/>
  <c r="BC50" i="5"/>
  <c r="BA50" i="5"/>
  <c r="AY50" i="5"/>
  <c r="AW50" i="5"/>
  <c r="AU50" i="5"/>
  <c r="AS50" i="5"/>
  <c r="AK50" i="5"/>
  <c r="AI50" i="5"/>
  <c r="AG50" i="5"/>
  <c r="AE50" i="5"/>
  <c r="AC50" i="5"/>
  <c r="W50" i="5"/>
  <c r="U50" i="5"/>
  <c r="Q50" i="5"/>
  <c r="O50" i="5"/>
  <c r="M50" i="5"/>
  <c r="BS47" i="5"/>
  <c r="BQ47" i="5"/>
  <c r="BO47" i="5"/>
  <c r="BM47" i="5"/>
  <c r="BK47" i="5"/>
  <c r="BI47" i="5"/>
  <c r="BC47" i="5"/>
  <c r="BA47" i="5"/>
  <c r="AY47" i="5"/>
  <c r="AW47" i="5"/>
  <c r="AU47" i="5"/>
  <c r="AS47" i="5"/>
  <c r="AM47" i="5"/>
  <c r="AK47" i="5"/>
  <c r="AI47" i="5"/>
  <c r="AG47" i="5"/>
  <c r="AE47" i="5"/>
  <c r="AC47" i="5"/>
  <c r="W47" i="5"/>
  <c r="U47" i="5"/>
  <c r="Q47" i="5"/>
  <c r="O47" i="5"/>
  <c r="BS46" i="5"/>
  <c r="BQ46" i="5"/>
  <c r="BO46" i="5"/>
  <c r="BM46" i="5"/>
  <c r="BK46" i="5"/>
  <c r="BI46" i="5"/>
  <c r="BC46" i="5"/>
  <c r="BA46" i="5"/>
  <c r="AY46" i="5"/>
  <c r="AW46" i="5"/>
  <c r="AU46" i="5"/>
  <c r="AS46" i="5"/>
  <c r="AM46" i="5"/>
  <c r="AK46" i="5"/>
  <c r="AI46" i="5"/>
  <c r="AG46" i="5"/>
  <c r="AE46" i="5"/>
  <c r="AC46" i="5"/>
  <c r="W46" i="5"/>
  <c r="U46" i="5"/>
  <c r="Q46" i="5"/>
  <c r="O46" i="5"/>
  <c r="BS45" i="5"/>
  <c r="BQ45" i="5"/>
  <c r="BO45" i="5"/>
  <c r="BM45" i="5"/>
  <c r="BK45" i="5"/>
  <c r="BI45" i="5"/>
  <c r="BC45" i="5"/>
  <c r="BA45" i="5"/>
  <c r="AY45" i="5"/>
  <c r="AW45" i="5"/>
  <c r="AU45" i="5"/>
  <c r="AS45" i="5"/>
  <c r="AM45" i="5"/>
  <c r="AK45" i="5"/>
  <c r="AI45" i="5"/>
  <c r="AG45" i="5"/>
  <c r="AE45" i="5"/>
  <c r="AC45" i="5"/>
  <c r="W45" i="5"/>
  <c r="U45" i="5"/>
  <c r="Q45" i="5"/>
  <c r="O45" i="5"/>
  <c r="BS44" i="5"/>
  <c r="BQ44" i="5"/>
  <c r="BO44" i="5"/>
  <c r="BM44" i="5"/>
  <c r="BK44" i="5"/>
  <c r="BI44" i="5"/>
  <c r="BC44" i="5"/>
  <c r="BA44" i="5"/>
  <c r="AY44" i="5"/>
  <c r="AW44" i="5"/>
  <c r="AU44" i="5"/>
  <c r="AS44" i="5"/>
  <c r="AM44" i="5"/>
  <c r="AK44" i="5"/>
  <c r="AI44" i="5"/>
  <c r="AG44" i="5"/>
  <c r="AE44" i="5"/>
  <c r="AC44" i="5"/>
  <c r="W44" i="5"/>
  <c r="U44" i="5"/>
  <c r="Q44" i="5"/>
  <c r="O44" i="5"/>
  <c r="AA44" i="5" s="1"/>
  <c r="BS43" i="5"/>
  <c r="BQ43" i="5"/>
  <c r="BO43" i="5"/>
  <c r="BM43" i="5"/>
  <c r="BK43" i="5"/>
  <c r="BI43" i="5"/>
  <c r="BC43" i="5"/>
  <c r="BA43" i="5"/>
  <c r="AY43" i="5"/>
  <c r="AW43" i="5"/>
  <c r="AU43" i="5"/>
  <c r="AS43" i="5"/>
  <c r="AM43" i="5"/>
  <c r="AK43" i="5"/>
  <c r="AI43" i="5"/>
  <c r="AG43" i="5"/>
  <c r="AE43" i="5"/>
  <c r="AC43" i="5"/>
  <c r="W43" i="5"/>
  <c r="U43" i="5"/>
  <c r="Y43" i="5" s="1"/>
  <c r="Q43" i="5"/>
  <c r="O43" i="5"/>
  <c r="AA43" i="5" s="1"/>
  <c r="BS42" i="5"/>
  <c r="BQ42" i="5"/>
  <c r="BO42" i="5"/>
  <c r="BM42" i="5"/>
  <c r="BK42" i="5"/>
  <c r="BI42" i="5"/>
  <c r="BC42" i="5"/>
  <c r="BA42" i="5"/>
  <c r="AY42" i="5"/>
  <c r="AW42" i="5"/>
  <c r="AU42" i="5"/>
  <c r="AS42" i="5"/>
  <c r="AM42" i="5"/>
  <c r="AK42" i="5"/>
  <c r="AI42" i="5"/>
  <c r="AG42" i="5"/>
  <c r="AE42" i="5"/>
  <c r="AC42" i="5"/>
  <c r="W42" i="5"/>
  <c r="U42" i="5"/>
  <c r="Q42" i="5"/>
  <c r="O42" i="5"/>
  <c r="AA42" i="5" s="1"/>
  <c r="BS41" i="5"/>
  <c r="BQ41" i="5"/>
  <c r="BO41" i="5"/>
  <c r="BM41" i="5"/>
  <c r="BK41" i="5"/>
  <c r="BI41" i="5"/>
  <c r="BC41" i="5"/>
  <c r="BA41" i="5"/>
  <c r="AY41" i="5"/>
  <c r="AW41" i="5"/>
  <c r="AU41" i="5"/>
  <c r="AS41" i="5"/>
  <c r="AM41" i="5"/>
  <c r="AK41" i="5"/>
  <c r="AI41" i="5"/>
  <c r="AG41" i="5"/>
  <c r="AE41" i="5"/>
  <c r="AC41" i="5"/>
  <c r="W41" i="5"/>
  <c r="U41" i="5"/>
  <c r="Q41" i="5"/>
  <c r="O41" i="5"/>
  <c r="AA41" i="5" s="1"/>
  <c r="BS40" i="5"/>
  <c r="BQ40" i="5"/>
  <c r="BO40" i="5"/>
  <c r="BM40" i="5"/>
  <c r="BK40" i="5"/>
  <c r="BI40" i="5"/>
  <c r="BC40" i="5"/>
  <c r="BA40" i="5"/>
  <c r="AY40" i="5"/>
  <c r="AW40" i="5"/>
  <c r="AU40" i="5"/>
  <c r="AS40" i="5"/>
  <c r="AM40" i="5"/>
  <c r="AK40" i="5"/>
  <c r="AI40" i="5"/>
  <c r="AG40" i="5"/>
  <c r="AE40" i="5"/>
  <c r="AC40" i="5"/>
  <c r="W40" i="5"/>
  <c r="U40" i="5"/>
  <c r="Q40" i="5"/>
  <c r="O40" i="5"/>
  <c r="AA40" i="5" s="1"/>
  <c r="BS39" i="5"/>
  <c r="BQ39" i="5"/>
  <c r="BO39" i="5"/>
  <c r="BM39" i="5"/>
  <c r="BK39" i="5"/>
  <c r="BI39" i="5"/>
  <c r="BC39" i="5"/>
  <c r="BA39" i="5"/>
  <c r="AY39" i="5"/>
  <c r="AW39" i="5"/>
  <c r="AU39" i="5"/>
  <c r="AS39" i="5"/>
  <c r="AM39" i="5"/>
  <c r="AK39" i="5"/>
  <c r="AI39" i="5"/>
  <c r="AG39" i="5"/>
  <c r="AE39" i="5"/>
  <c r="AC39" i="5"/>
  <c r="W39" i="5"/>
  <c r="U39" i="5"/>
  <c r="Y39" i="5" s="1"/>
  <c r="Q39" i="5"/>
  <c r="O39" i="5"/>
  <c r="AA39" i="5" s="1"/>
  <c r="BS38" i="5"/>
  <c r="BQ38" i="5"/>
  <c r="BO38" i="5"/>
  <c r="BM38" i="5"/>
  <c r="BK38" i="5"/>
  <c r="BI38" i="5"/>
  <c r="BC38" i="5"/>
  <c r="BA38" i="5"/>
  <c r="AY38" i="5"/>
  <c r="AW38" i="5"/>
  <c r="AU38" i="5"/>
  <c r="AS38" i="5"/>
  <c r="AM38" i="5"/>
  <c r="AK38" i="5"/>
  <c r="AI38" i="5"/>
  <c r="AG38" i="5"/>
  <c r="AE38" i="5"/>
  <c r="AC38" i="5"/>
  <c r="W38" i="5"/>
  <c r="U38" i="5"/>
  <c r="Q38" i="5"/>
  <c r="O38" i="5"/>
  <c r="AA38" i="5" s="1"/>
  <c r="BS37" i="5"/>
  <c r="BQ37" i="5"/>
  <c r="BO37" i="5"/>
  <c r="BM37" i="5"/>
  <c r="BK37" i="5"/>
  <c r="BI37" i="5"/>
  <c r="BC37" i="5"/>
  <c r="BA37" i="5"/>
  <c r="AY37" i="5"/>
  <c r="AW37" i="5"/>
  <c r="AU37" i="5"/>
  <c r="AS37" i="5"/>
  <c r="AM37" i="5"/>
  <c r="AK37" i="5"/>
  <c r="AI37" i="5"/>
  <c r="AG37" i="5"/>
  <c r="AE37" i="5"/>
  <c r="AC37" i="5"/>
  <c r="W37" i="5"/>
  <c r="U37" i="5"/>
  <c r="Y37" i="5" s="1"/>
  <c r="Q37" i="5"/>
  <c r="O37" i="5"/>
  <c r="AA37" i="5" s="1"/>
  <c r="BS36" i="5"/>
  <c r="BQ36" i="5"/>
  <c r="BO36" i="5"/>
  <c r="BM36" i="5"/>
  <c r="BK36" i="5"/>
  <c r="BI36" i="5"/>
  <c r="BC36" i="5"/>
  <c r="BA36" i="5"/>
  <c r="AY36" i="5"/>
  <c r="AW36" i="5"/>
  <c r="AU36" i="5"/>
  <c r="AS36" i="5"/>
  <c r="AM36" i="5"/>
  <c r="AK36" i="5"/>
  <c r="AI36" i="5"/>
  <c r="AG36" i="5"/>
  <c r="AE36" i="5"/>
  <c r="AC36" i="5"/>
  <c r="W36" i="5"/>
  <c r="U36" i="5"/>
  <c r="Q36" i="5"/>
  <c r="O36" i="5"/>
  <c r="AA36" i="5" s="1"/>
  <c r="BS35" i="5"/>
  <c r="BQ35" i="5"/>
  <c r="BO35" i="5"/>
  <c r="BM35" i="5"/>
  <c r="BK35" i="5"/>
  <c r="BI35" i="5"/>
  <c r="BC35" i="5"/>
  <c r="BA35" i="5"/>
  <c r="AY35" i="5"/>
  <c r="AW35" i="5"/>
  <c r="AU35" i="5"/>
  <c r="AS35" i="5"/>
  <c r="AM35" i="5"/>
  <c r="AK35" i="5"/>
  <c r="AI35" i="5"/>
  <c r="AG35" i="5"/>
  <c r="AE35" i="5"/>
  <c r="AC35" i="5"/>
  <c r="W35" i="5"/>
  <c r="U35" i="5"/>
  <c r="Y35" i="5" s="1"/>
  <c r="Q35" i="5"/>
  <c r="O35" i="5"/>
  <c r="AA35" i="5" s="1"/>
  <c r="BS34" i="5"/>
  <c r="BQ34" i="5"/>
  <c r="BO34" i="5"/>
  <c r="BM34" i="5"/>
  <c r="BK34" i="5"/>
  <c r="BI34" i="5"/>
  <c r="BC34" i="5"/>
  <c r="BA34" i="5"/>
  <c r="AY34" i="5"/>
  <c r="AW34" i="5"/>
  <c r="AU34" i="5"/>
  <c r="AS34" i="5"/>
  <c r="AM34" i="5"/>
  <c r="AK34" i="5"/>
  <c r="AI34" i="5"/>
  <c r="AQ34" i="5" s="1"/>
  <c r="AG34" i="5"/>
  <c r="AE34" i="5"/>
  <c r="AC34" i="5"/>
  <c r="W34" i="5"/>
  <c r="U34" i="5"/>
  <c r="Q34" i="5"/>
  <c r="O34" i="5"/>
  <c r="AA34" i="5" s="1"/>
  <c r="BS33" i="5"/>
  <c r="BQ33" i="5"/>
  <c r="BO33" i="5"/>
  <c r="BM33" i="5"/>
  <c r="BK33" i="5"/>
  <c r="BW33" i="5" s="1"/>
  <c r="BI33" i="5"/>
  <c r="BC33" i="5"/>
  <c r="BA33" i="5"/>
  <c r="AY33" i="5"/>
  <c r="AW33" i="5"/>
  <c r="AU33" i="5"/>
  <c r="AS33" i="5"/>
  <c r="AM33" i="5"/>
  <c r="AK33" i="5"/>
  <c r="AI33" i="5"/>
  <c r="AG33" i="5"/>
  <c r="AE33" i="5"/>
  <c r="AC33" i="5"/>
  <c r="W33" i="5"/>
  <c r="U33" i="5"/>
  <c r="Y33" i="5" s="1"/>
  <c r="Q33" i="5"/>
  <c r="O33" i="5"/>
  <c r="AA33" i="5" s="1"/>
  <c r="BS32" i="5"/>
  <c r="BQ32" i="5"/>
  <c r="BO32" i="5"/>
  <c r="BM32" i="5"/>
  <c r="BK32" i="5"/>
  <c r="BI32" i="5"/>
  <c r="BC32" i="5"/>
  <c r="BA32" i="5"/>
  <c r="AY32" i="5"/>
  <c r="AW32" i="5"/>
  <c r="AU32" i="5"/>
  <c r="AS32" i="5"/>
  <c r="AM32" i="5"/>
  <c r="AK32" i="5"/>
  <c r="AI32" i="5"/>
  <c r="AG32" i="5"/>
  <c r="AE32" i="5"/>
  <c r="AC32" i="5"/>
  <c r="W32" i="5"/>
  <c r="U32" i="5"/>
  <c r="Q32" i="5"/>
  <c r="O32" i="5"/>
  <c r="AA32" i="5" s="1"/>
  <c r="BS31" i="5"/>
  <c r="BQ31" i="5"/>
  <c r="BO31" i="5"/>
  <c r="BM31" i="5"/>
  <c r="BK31" i="5"/>
  <c r="BI31" i="5"/>
  <c r="BC31" i="5"/>
  <c r="BA31" i="5"/>
  <c r="AY31" i="5"/>
  <c r="BG31" i="5" s="1"/>
  <c r="AW31" i="5"/>
  <c r="AU31" i="5"/>
  <c r="AS31" i="5"/>
  <c r="AM31" i="5"/>
  <c r="AK31" i="5"/>
  <c r="AI31" i="5"/>
  <c r="AG31" i="5"/>
  <c r="AE31" i="5"/>
  <c r="AC31" i="5"/>
  <c r="W31" i="5"/>
  <c r="U31" i="5"/>
  <c r="Y31" i="5" s="1"/>
  <c r="Q31" i="5"/>
  <c r="O31" i="5"/>
  <c r="AA31" i="5" s="1"/>
  <c r="BS30" i="5"/>
  <c r="BQ30" i="5"/>
  <c r="BO30" i="5"/>
  <c r="BM30" i="5"/>
  <c r="BK30" i="5"/>
  <c r="BI30" i="5"/>
  <c r="BC30" i="5"/>
  <c r="BA30" i="5"/>
  <c r="AY30" i="5"/>
  <c r="AW30" i="5"/>
  <c r="AU30" i="5"/>
  <c r="AS30" i="5"/>
  <c r="AM30" i="5"/>
  <c r="AK30" i="5"/>
  <c r="AI30" i="5"/>
  <c r="AQ30" i="5" s="1"/>
  <c r="AG30" i="5"/>
  <c r="AE30" i="5"/>
  <c r="AC30" i="5"/>
  <c r="W30" i="5"/>
  <c r="U30" i="5"/>
  <c r="Q30" i="5"/>
  <c r="O30" i="5"/>
  <c r="AA30" i="5" s="1"/>
  <c r="BS29" i="5"/>
  <c r="BQ29" i="5"/>
  <c r="BO29" i="5"/>
  <c r="BM29" i="5"/>
  <c r="BK29" i="5"/>
  <c r="BK48" i="5" s="1"/>
  <c r="BK52" i="5" s="1"/>
  <c r="BI29" i="5"/>
  <c r="BC29" i="5"/>
  <c r="BA29" i="5"/>
  <c r="AY29" i="5"/>
  <c r="AW29" i="5"/>
  <c r="AU29" i="5"/>
  <c r="AS29" i="5"/>
  <c r="AM29" i="5"/>
  <c r="AK29" i="5"/>
  <c r="AI29" i="5"/>
  <c r="AG29" i="5"/>
  <c r="AE29" i="5"/>
  <c r="AC29" i="5"/>
  <c r="W29" i="5"/>
  <c r="U29" i="5"/>
  <c r="Y29" i="5" s="1"/>
  <c r="Q29" i="5"/>
  <c r="O29" i="5"/>
  <c r="AA29" i="5" s="1"/>
  <c r="BS28" i="5"/>
  <c r="BQ28" i="5"/>
  <c r="BO28" i="5"/>
  <c r="BO48" i="5" s="1"/>
  <c r="BO52" i="5" s="1"/>
  <c r="BM28" i="5"/>
  <c r="BK28" i="5"/>
  <c r="BI28" i="5"/>
  <c r="BC28" i="5"/>
  <c r="BC48" i="5" s="1"/>
  <c r="BC52" i="5" s="1"/>
  <c r="BA28" i="5"/>
  <c r="AY28" i="5"/>
  <c r="AW28" i="5"/>
  <c r="AU28" i="5"/>
  <c r="AU48" i="5" s="1"/>
  <c r="AU52" i="5" s="1"/>
  <c r="AS28" i="5"/>
  <c r="AM28" i="5"/>
  <c r="AK28" i="5"/>
  <c r="AI28" i="5"/>
  <c r="AQ28" i="5" s="1"/>
  <c r="AG28" i="5"/>
  <c r="AE28" i="5"/>
  <c r="AC28" i="5"/>
  <c r="W28" i="5"/>
  <c r="U28" i="5"/>
  <c r="Q28" i="5"/>
  <c r="O28" i="5"/>
  <c r="AA28" i="5" s="1"/>
  <c r="M29" i="5"/>
  <c r="M30" i="5"/>
  <c r="M31" i="5"/>
  <c r="M32" i="5"/>
  <c r="Y32" i="5" s="1"/>
  <c r="M33" i="5"/>
  <c r="M34" i="5"/>
  <c r="Y34" i="5" s="1"/>
  <c r="M35" i="5"/>
  <c r="M36" i="5"/>
  <c r="Y36" i="5" s="1"/>
  <c r="M37" i="5"/>
  <c r="M38" i="5"/>
  <c r="Y38" i="5" s="1"/>
  <c r="M39" i="5"/>
  <c r="M40" i="5"/>
  <c r="Y40" i="5" s="1"/>
  <c r="M41" i="5"/>
  <c r="M42" i="5"/>
  <c r="Y42" i="5" s="1"/>
  <c r="M43" i="5"/>
  <c r="M44" i="5"/>
  <c r="Y44" i="5" s="1"/>
  <c r="M45" i="5"/>
  <c r="M46" i="5"/>
  <c r="Y46" i="5" s="1"/>
  <c r="M47" i="5"/>
  <c r="M28" i="5"/>
  <c r="A50"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D33" i="6"/>
  <c r="C33" i="6"/>
  <c r="D29" i="6"/>
  <c r="D26" i="6"/>
  <c r="C29" i="6"/>
  <c r="C26" i="6"/>
  <c r="D20" i="6"/>
  <c r="C20" i="6"/>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W32" i="2"/>
  <c r="AI32" i="2" s="1"/>
  <c r="W33" i="2"/>
  <c r="AI33" i="2" s="1"/>
  <c r="W34" i="2"/>
  <c r="AI34" i="2" s="1"/>
  <c r="W35" i="2"/>
  <c r="AI35" i="2" s="1"/>
  <c r="W36" i="2"/>
  <c r="AI36" i="2" s="1"/>
  <c r="W37" i="2"/>
  <c r="AI37" i="2" s="1"/>
  <c r="W38" i="2"/>
  <c r="AI38" i="2" s="1"/>
  <c r="W39" i="2"/>
  <c r="AI39" i="2" s="1"/>
  <c r="W40" i="2"/>
  <c r="AI40" i="2" s="1"/>
  <c r="W41" i="2"/>
  <c r="AI41" i="2" s="1"/>
  <c r="W42" i="2"/>
  <c r="AI42" i="2" s="1"/>
  <c r="W43" i="2"/>
  <c r="AI43" i="2" s="1"/>
  <c r="W44" i="2"/>
  <c r="AI44" i="2" s="1"/>
  <c r="W45" i="2"/>
  <c r="AI45" i="2" s="1"/>
  <c r="W46" i="2"/>
  <c r="AI46" i="2" s="1"/>
  <c r="W47" i="2"/>
  <c r="AI47" i="2" s="1"/>
  <c r="W48" i="2"/>
  <c r="AI48" i="2" s="1"/>
  <c r="W49" i="2"/>
  <c r="AI49" i="2" s="1"/>
  <c r="W50" i="2"/>
  <c r="AI50" i="2" s="1"/>
  <c r="F56" i="5"/>
  <c r="F57" i="5"/>
  <c r="F58" i="5"/>
  <c r="F59" i="5"/>
  <c r="F60" i="5"/>
  <c r="F61" i="5"/>
  <c r="F62" i="5"/>
  <c r="F63" i="5"/>
  <c r="F64" i="5"/>
  <c r="F65" i="5"/>
  <c r="F66" i="5"/>
  <c r="F67" i="5"/>
  <c r="F68" i="5"/>
  <c r="F69" i="5"/>
  <c r="F70" i="5"/>
  <c r="F71" i="5"/>
  <c r="F72" i="5"/>
  <c r="F73" i="5"/>
  <c r="F74" i="5"/>
  <c r="F75" i="5"/>
  <c r="F76" i="5"/>
  <c r="F77" i="5"/>
  <c r="F78" i="5"/>
  <c r="F79" i="5"/>
  <c r="F80" i="5"/>
  <c r="E28" i="5"/>
  <c r="E29" i="5"/>
  <c r="E30" i="5"/>
  <c r="E31" i="5"/>
  <c r="E32" i="5"/>
  <c r="E33" i="5"/>
  <c r="E34" i="5"/>
  <c r="E35" i="5"/>
  <c r="E36" i="5"/>
  <c r="E37" i="5"/>
  <c r="E38" i="5"/>
  <c r="E39" i="5"/>
  <c r="E40" i="5"/>
  <c r="E41" i="5"/>
  <c r="E42" i="5"/>
  <c r="E43" i="5"/>
  <c r="E44" i="5"/>
  <c r="E45" i="5"/>
  <c r="E46" i="5"/>
  <c r="E47" i="5"/>
  <c r="E50" i="5"/>
  <c r="W16" i="2"/>
  <c r="AI16" i="2" s="1"/>
  <c r="W17" i="2"/>
  <c r="AI17" i="2" s="1"/>
  <c r="W18" i="2"/>
  <c r="AI18" i="2" s="1"/>
  <c r="W19" i="2"/>
  <c r="AI19" i="2" s="1"/>
  <c r="W20" i="2"/>
  <c r="AI20" i="2" s="1"/>
  <c r="W21" i="2"/>
  <c r="AI21" i="2" s="1"/>
  <c r="W22" i="2"/>
  <c r="AI22" i="2" s="1"/>
  <c r="W23" i="2"/>
  <c r="AI23" i="2" s="1"/>
  <c r="W24" i="2"/>
  <c r="AI24" i="2" s="1"/>
  <c r="W25" i="2"/>
  <c r="AI25" i="2" s="1"/>
  <c r="W26" i="2"/>
  <c r="AI26" i="2" s="1"/>
  <c r="W27" i="2"/>
  <c r="AI27" i="2" s="1"/>
  <c r="W28" i="2"/>
  <c r="AI28" i="2" s="1"/>
  <c r="W29" i="2"/>
  <c r="AI29" i="2" s="1"/>
  <c r="W30" i="2"/>
  <c r="AI30" i="2" s="1"/>
  <c r="W31" i="2"/>
  <c r="AI31" i="2" s="1"/>
  <c r="I81" i="5"/>
  <c r="AV67" i="5"/>
  <c r="BP75" i="5"/>
  <c r="I57" i="5"/>
  <c r="I58" i="5"/>
  <c r="I59" i="5"/>
  <c r="I60" i="5"/>
  <c r="I61" i="5"/>
  <c r="I62" i="5"/>
  <c r="I63" i="5"/>
  <c r="I64" i="5"/>
  <c r="I65" i="5"/>
  <c r="I66" i="5"/>
  <c r="I67" i="5"/>
  <c r="I68" i="5"/>
  <c r="I69" i="5"/>
  <c r="I70" i="5"/>
  <c r="I71" i="5"/>
  <c r="I72" i="5"/>
  <c r="I73" i="5"/>
  <c r="I74" i="5"/>
  <c r="I75" i="5"/>
  <c r="I76" i="5"/>
  <c r="I77" i="5"/>
  <c r="I78" i="5"/>
  <c r="I79" i="5"/>
  <c r="I80" i="5"/>
  <c r="I56" i="5"/>
  <c r="Y30" i="5"/>
  <c r="Y47" i="5"/>
  <c r="Y50" i="5"/>
  <c r="B16" i="4"/>
  <c r="C28" i="5" s="1"/>
  <c r="B17" i="4"/>
  <c r="C29" i="5" s="1"/>
  <c r="B18" i="4"/>
  <c r="C30" i="5" s="1"/>
  <c r="B19" i="4"/>
  <c r="C31" i="5" s="1"/>
  <c r="B20" i="4"/>
  <c r="C32" i="5" s="1"/>
  <c r="B21" i="4"/>
  <c r="C33" i="5" s="1"/>
  <c r="B22" i="4"/>
  <c r="C34" i="5" s="1"/>
  <c r="B23" i="4"/>
  <c r="C35" i="5" s="1"/>
  <c r="B24" i="4"/>
  <c r="C36" i="5" s="1"/>
  <c r="B25" i="4"/>
  <c r="C37" i="5" s="1"/>
  <c r="B26" i="4"/>
  <c r="C38" i="5" s="1"/>
  <c r="B27" i="4"/>
  <c r="C39" i="5" s="1"/>
  <c r="B28" i="4"/>
  <c r="C40" i="5" s="1"/>
  <c r="B29" i="4"/>
  <c r="C41" i="5" s="1"/>
  <c r="B30" i="4"/>
  <c r="C42" i="5" s="1"/>
  <c r="B31" i="4"/>
  <c r="C43" i="5" s="1"/>
  <c r="B32" i="4"/>
  <c r="C44" i="5" s="1"/>
  <c r="B33" i="4"/>
  <c r="C45" i="5" s="1"/>
  <c r="B34" i="4"/>
  <c r="C46" i="5" s="1"/>
  <c r="B35" i="4"/>
  <c r="C47" i="5" s="1"/>
  <c r="B38" i="4"/>
  <c r="C50" i="5" s="1"/>
  <c r="B79" i="4"/>
  <c r="C91" i="5" s="1"/>
  <c r="D91" i="5"/>
  <c r="C94" i="5"/>
  <c r="C95" i="5"/>
  <c r="C96" i="5"/>
  <c r="C97" i="5"/>
  <c r="C98" i="5"/>
  <c r="C99" i="5"/>
  <c r="C100" i="5"/>
  <c r="C101" i="5"/>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D45" i="4"/>
  <c r="E57" i="5" s="1"/>
  <c r="D46" i="4"/>
  <c r="E58" i="5" s="1"/>
  <c r="D47" i="4"/>
  <c r="E59" i="5" s="1"/>
  <c r="D48" i="4"/>
  <c r="E60" i="5" s="1"/>
  <c r="D49" i="4"/>
  <c r="E61" i="5" s="1"/>
  <c r="D50" i="4"/>
  <c r="E62" i="5" s="1"/>
  <c r="D51" i="4"/>
  <c r="E63" i="5" s="1"/>
  <c r="D52" i="4"/>
  <c r="E64" i="5" s="1"/>
  <c r="D53" i="4"/>
  <c r="E65" i="5" s="1"/>
  <c r="D54" i="4"/>
  <c r="E66" i="5" s="1"/>
  <c r="D55" i="4"/>
  <c r="E67" i="5" s="1"/>
  <c r="D56" i="4"/>
  <c r="E68" i="5" s="1"/>
  <c r="D57" i="4"/>
  <c r="E69" i="5" s="1"/>
  <c r="D58" i="4"/>
  <c r="E70" i="5" s="1"/>
  <c r="D59" i="4"/>
  <c r="E71" i="5" s="1"/>
  <c r="D60" i="4"/>
  <c r="E72" i="5" s="1"/>
  <c r="D61" i="4"/>
  <c r="E73" i="5" s="1"/>
  <c r="D62" i="4"/>
  <c r="E74" i="5" s="1"/>
  <c r="D63" i="4"/>
  <c r="E75" i="5" s="1"/>
  <c r="D64" i="4"/>
  <c r="E76" i="5" s="1"/>
  <c r="D65" i="4"/>
  <c r="E77" i="5" s="1"/>
  <c r="D66" i="4"/>
  <c r="E78" i="5" s="1"/>
  <c r="D67" i="4"/>
  <c r="E79" i="5" s="1"/>
  <c r="D68" i="4"/>
  <c r="E80" i="5" s="1"/>
  <c r="D44" i="4"/>
  <c r="E56" i="5" s="1"/>
  <c r="B44" i="4"/>
  <c r="B45" i="4"/>
  <c r="C57" i="5" s="1"/>
  <c r="B46" i="4"/>
  <c r="C58" i="5" s="1"/>
  <c r="B47" i="4"/>
  <c r="C59" i="5" s="1"/>
  <c r="B48" i="4"/>
  <c r="B49" i="4"/>
  <c r="C61" i="5" s="1"/>
  <c r="B50" i="4"/>
  <c r="C62" i="5" s="1"/>
  <c r="B51" i="4"/>
  <c r="C63" i="5" s="1"/>
  <c r="B52" i="4"/>
  <c r="B53" i="4"/>
  <c r="C65" i="5" s="1"/>
  <c r="B54" i="4"/>
  <c r="C66" i="5" s="1"/>
  <c r="B55" i="4"/>
  <c r="C67" i="5" s="1"/>
  <c r="B56" i="4"/>
  <c r="B57" i="4"/>
  <c r="C69" i="5" s="1"/>
  <c r="B58" i="4"/>
  <c r="C70" i="5" s="1"/>
  <c r="B59" i="4"/>
  <c r="C71" i="5" s="1"/>
  <c r="B60" i="4"/>
  <c r="B61" i="4"/>
  <c r="C73" i="5" s="1"/>
  <c r="B62" i="4"/>
  <c r="C74" i="5" s="1"/>
  <c r="B63" i="4"/>
  <c r="C75" i="5" s="1"/>
  <c r="B64" i="4"/>
  <c r="C76" i="5" s="1"/>
  <c r="B65" i="4"/>
  <c r="B66" i="4"/>
  <c r="B67" i="4"/>
  <c r="C79" i="5" s="1"/>
  <c r="B68" i="4"/>
  <c r="K14" i="4"/>
  <c r="L38" i="4"/>
  <c r="V50" i="5" s="1"/>
  <c r="I50" i="5"/>
  <c r="I28" i="5"/>
  <c r="I29" i="5"/>
  <c r="I30" i="5"/>
  <c r="I31" i="5"/>
  <c r="I32" i="5"/>
  <c r="I33" i="5"/>
  <c r="I34" i="5"/>
  <c r="I35" i="5"/>
  <c r="I36" i="5"/>
  <c r="I37" i="5"/>
  <c r="I38" i="5"/>
  <c r="I39" i="5"/>
  <c r="I40" i="5"/>
  <c r="I41" i="5"/>
  <c r="I42" i="5"/>
  <c r="I43" i="5"/>
  <c r="I44" i="5"/>
  <c r="I45" i="5"/>
  <c r="I46" i="5"/>
  <c r="I47" i="5"/>
  <c r="B74" i="4"/>
  <c r="C86" i="5" s="1"/>
  <c r="B73" i="4"/>
  <c r="C85" i="5" s="1"/>
  <c r="D16" i="4"/>
  <c r="G28" i="5" s="1"/>
  <c r="D17" i="4"/>
  <c r="G29" i="5" s="1"/>
  <c r="D18" i="4"/>
  <c r="G30" i="5" s="1"/>
  <c r="D19" i="4"/>
  <c r="G31" i="5" s="1"/>
  <c r="D20" i="4"/>
  <c r="G32" i="5" s="1"/>
  <c r="D21" i="4"/>
  <c r="G33" i="5" s="1"/>
  <c r="D22" i="4"/>
  <c r="G34" i="5" s="1"/>
  <c r="D23" i="4"/>
  <c r="G35" i="5" s="1"/>
  <c r="D24" i="4"/>
  <c r="G36" i="5" s="1"/>
  <c r="D25" i="4"/>
  <c r="G37" i="5" s="1"/>
  <c r="D26" i="4"/>
  <c r="G38" i="5" s="1"/>
  <c r="D27" i="4"/>
  <c r="G39" i="5" s="1"/>
  <c r="D28" i="4"/>
  <c r="G40" i="5" s="1"/>
  <c r="D29" i="4"/>
  <c r="G41" i="5" s="1"/>
  <c r="D30" i="4"/>
  <c r="G42" i="5" s="1"/>
  <c r="D31" i="4"/>
  <c r="G43" i="5" s="1"/>
  <c r="D32" i="4"/>
  <c r="G44" i="5" s="1"/>
  <c r="D33" i="4"/>
  <c r="G45" i="5" s="1"/>
  <c r="D34" i="4"/>
  <c r="G46" i="5" s="1"/>
  <c r="D35" i="4"/>
  <c r="G47" i="5" s="1"/>
  <c r="D38" i="4"/>
  <c r="G50" i="5" s="1"/>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J17" i="2"/>
  <c r="K17" i="2"/>
  <c r="J18" i="2"/>
  <c r="K18" i="2"/>
  <c r="J19" i="2"/>
  <c r="K19" i="2"/>
  <c r="J20" i="2"/>
  <c r="K20" i="2"/>
  <c r="J21" i="2"/>
  <c r="K21" i="2"/>
  <c r="J22" i="2"/>
  <c r="K22" i="2"/>
  <c r="J23" i="2"/>
  <c r="K23" i="2"/>
  <c r="J24" i="2"/>
  <c r="K24" i="2"/>
  <c r="J25" i="2"/>
  <c r="K25" i="2"/>
  <c r="J26" i="2"/>
  <c r="K26" i="2"/>
  <c r="J27" i="2"/>
  <c r="K27" i="2"/>
  <c r="J28" i="2"/>
  <c r="K28" i="2"/>
  <c r="J29" i="2"/>
  <c r="K29" i="2"/>
  <c r="J30" i="2"/>
  <c r="K30" i="2"/>
  <c r="J31" i="2"/>
  <c r="K31" i="2"/>
  <c r="J32" i="2"/>
  <c r="K32" i="2"/>
  <c r="J33" i="2"/>
  <c r="K33" i="2"/>
  <c r="J34" i="2"/>
  <c r="K34" i="2"/>
  <c r="J35" i="2"/>
  <c r="K35" i="2"/>
  <c r="J36" i="2"/>
  <c r="K36" i="2"/>
  <c r="J37" i="2"/>
  <c r="K37" i="2"/>
  <c r="J38" i="2"/>
  <c r="K38" i="2"/>
  <c r="J39" i="2"/>
  <c r="K39" i="2"/>
  <c r="J40" i="2"/>
  <c r="K40" i="2"/>
  <c r="J41" i="2"/>
  <c r="K41" i="2"/>
  <c r="J42" i="2"/>
  <c r="K42" i="2"/>
  <c r="J43" i="2"/>
  <c r="K43" i="2"/>
  <c r="J44" i="2"/>
  <c r="K44" i="2"/>
  <c r="J45" i="2"/>
  <c r="K45" i="2"/>
  <c r="J46" i="2"/>
  <c r="K46" i="2"/>
  <c r="J47" i="2"/>
  <c r="K47" i="2"/>
  <c r="J48" i="2"/>
  <c r="K48" i="2"/>
  <c r="J49" i="2"/>
  <c r="K49" i="2"/>
  <c r="J50" i="2"/>
  <c r="K50"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K16" i="2"/>
  <c r="J16" i="2"/>
  <c r="I16" i="2"/>
  <c r="C16" i="2"/>
  <c r="B16" i="2"/>
  <c r="C15" i="6"/>
  <c r="D15" i="6"/>
  <c r="AM50" i="5"/>
  <c r="I85" i="5"/>
  <c r="I86" i="5"/>
  <c r="G14" i="4"/>
  <c r="G74" i="4"/>
  <c r="L86" i="5" s="1"/>
  <c r="H74" i="4"/>
  <c r="N86" i="5" s="1"/>
  <c r="I14" i="4"/>
  <c r="I74" i="4"/>
  <c r="P86" i="5" s="1"/>
  <c r="J74" i="4"/>
  <c r="R86" i="5" s="1"/>
  <c r="K74" i="4"/>
  <c r="T86" i="5" s="1"/>
  <c r="L74" i="4"/>
  <c r="V86" i="5" s="1"/>
  <c r="O14" i="4"/>
  <c r="O74" i="4"/>
  <c r="AB86" i="5" s="1"/>
  <c r="P74" i="4"/>
  <c r="AD86" i="5" s="1"/>
  <c r="Q14" i="4"/>
  <c r="Q74" i="4"/>
  <c r="AF86" i="5" s="1"/>
  <c r="R74" i="4"/>
  <c r="AH86" i="5" s="1"/>
  <c r="S14" i="4"/>
  <c r="S74" i="4"/>
  <c r="AJ86" i="5" s="1"/>
  <c r="T74" i="4"/>
  <c r="AL86" i="5" s="1"/>
  <c r="W14" i="4"/>
  <c r="W74" i="4"/>
  <c r="X74" i="4"/>
  <c r="AT86" i="5" s="1"/>
  <c r="Y14" i="4"/>
  <c r="Y74" i="4"/>
  <c r="AV86" i="5" s="1"/>
  <c r="Z74" i="4"/>
  <c r="AX86" i="5" s="1"/>
  <c r="AA14" i="4"/>
  <c r="AA74" i="4"/>
  <c r="AZ86" i="5" s="1"/>
  <c r="AB74" i="4"/>
  <c r="BB86" i="5" s="1"/>
  <c r="AE14" i="4"/>
  <c r="AE74" i="4"/>
  <c r="BH86" i="5" s="1"/>
  <c r="AF74" i="4"/>
  <c r="BJ86" i="5" s="1"/>
  <c r="AG14" i="4"/>
  <c r="AG74" i="4"/>
  <c r="BL86" i="5" s="1"/>
  <c r="AH74" i="4"/>
  <c r="BN86" i="5" s="1"/>
  <c r="AI14" i="4"/>
  <c r="AI74" i="4"/>
  <c r="BP86" i="5" s="1"/>
  <c r="AJ74" i="4"/>
  <c r="BR86" i="5" s="1"/>
  <c r="G73" i="4"/>
  <c r="L85" i="5" s="1"/>
  <c r="H73" i="4"/>
  <c r="N85" i="5" s="1"/>
  <c r="I73" i="4"/>
  <c r="P85" i="5" s="1"/>
  <c r="J73" i="4"/>
  <c r="R85" i="5" s="1"/>
  <c r="K73" i="4"/>
  <c r="T85" i="5" s="1"/>
  <c r="L73" i="4"/>
  <c r="V85" i="5" s="1"/>
  <c r="O73" i="4"/>
  <c r="O75" i="4" s="1"/>
  <c r="AB87" i="5" s="1"/>
  <c r="P73" i="4"/>
  <c r="AD85" i="5" s="1"/>
  <c r="Q73" i="4"/>
  <c r="AF85" i="5" s="1"/>
  <c r="R73" i="4"/>
  <c r="S73" i="4"/>
  <c r="T73" i="4"/>
  <c r="AL85" i="5" s="1"/>
  <c r="W73" i="4"/>
  <c r="AR85" i="5" s="1"/>
  <c r="X73" i="4"/>
  <c r="AT85" i="5" s="1"/>
  <c r="Y73" i="4"/>
  <c r="AV85" i="5" s="1"/>
  <c r="Z73" i="4"/>
  <c r="AX85" i="5" s="1"/>
  <c r="AA73" i="4"/>
  <c r="AZ85" i="5" s="1"/>
  <c r="AB73" i="4"/>
  <c r="BB85" i="5" s="1"/>
  <c r="AE73" i="4"/>
  <c r="BH85" i="5" s="1"/>
  <c r="AF73" i="4"/>
  <c r="BJ85" i="5" s="1"/>
  <c r="AG73" i="4"/>
  <c r="BL85" i="5" s="1"/>
  <c r="AH73" i="4"/>
  <c r="BN85" i="5" s="1"/>
  <c r="AI73" i="4"/>
  <c r="BP85" i="5" s="1"/>
  <c r="AJ73" i="4"/>
  <c r="BR85" i="5" s="1"/>
  <c r="D73" i="4"/>
  <c r="D13" i="4"/>
  <c r="D74" i="4"/>
  <c r="G86" i="5" s="1"/>
  <c r="D17" i="5"/>
  <c r="H57" i="5"/>
  <c r="H62" i="5"/>
  <c r="H68" i="5"/>
  <c r="H73" i="5"/>
  <c r="H78" i="5"/>
  <c r="G16" i="4"/>
  <c r="L28" i="5" s="1"/>
  <c r="G17" i="4"/>
  <c r="G18" i="4"/>
  <c r="L30" i="5" s="1"/>
  <c r="G19" i="4"/>
  <c r="G20" i="4"/>
  <c r="L32" i="5" s="1"/>
  <c r="G21" i="4"/>
  <c r="G22" i="4"/>
  <c r="L34" i="5" s="1"/>
  <c r="G23" i="4"/>
  <c r="G24" i="4"/>
  <c r="G25" i="4"/>
  <c r="G26" i="4"/>
  <c r="G27" i="4"/>
  <c r="G28" i="4"/>
  <c r="G29" i="4"/>
  <c r="G30" i="4"/>
  <c r="G31" i="4"/>
  <c r="G32" i="4"/>
  <c r="G33" i="4"/>
  <c r="G34" i="4"/>
  <c r="G35" i="4"/>
  <c r="B80" i="5"/>
  <c r="B79" i="5"/>
  <c r="B78" i="5"/>
  <c r="B77" i="5"/>
  <c r="B76" i="5"/>
  <c r="B75" i="5"/>
  <c r="B74" i="5"/>
  <c r="B73" i="5"/>
  <c r="B72" i="5"/>
  <c r="B71" i="5"/>
  <c r="B70" i="5"/>
  <c r="B69" i="5"/>
  <c r="B68" i="5"/>
  <c r="B67" i="5"/>
  <c r="B66" i="5"/>
  <c r="B65" i="5"/>
  <c r="B64" i="5"/>
  <c r="B63" i="5"/>
  <c r="B62" i="5"/>
  <c r="B61" i="5"/>
  <c r="B60" i="5"/>
  <c r="B59" i="5"/>
  <c r="B58" i="5"/>
  <c r="B57" i="5"/>
  <c r="B56" i="5"/>
  <c r="AE22" i="5"/>
  <c r="AD22" i="5"/>
  <c r="AC22" i="5"/>
  <c r="AB22" i="5"/>
  <c r="AE21" i="5"/>
  <c r="AD21" i="5"/>
  <c r="AC21" i="5"/>
  <c r="AB21" i="5"/>
  <c r="AE20" i="5"/>
  <c r="AD20" i="5"/>
  <c r="AC20" i="5"/>
  <c r="AB20" i="5"/>
  <c r="AC15" i="5"/>
  <c r="C11" i="5"/>
  <c r="C10" i="5"/>
  <c r="C9" i="5"/>
  <c r="C8" i="5"/>
  <c r="C7" i="5"/>
  <c r="C6" i="5"/>
  <c r="C5" i="5"/>
  <c r="F3" i="5"/>
  <c r="B9" i="2"/>
  <c r="B8" i="2"/>
  <c r="B7" i="2"/>
  <c r="B6" i="2"/>
  <c r="B5" i="2"/>
  <c r="B4" i="2"/>
  <c r="B3" i="2"/>
  <c r="A68" i="4"/>
  <c r="P67" i="4"/>
  <c r="A67" i="4"/>
  <c r="AI66" i="4"/>
  <c r="A66" i="4"/>
  <c r="S65" i="4"/>
  <c r="A65" i="4"/>
  <c r="AJ64" i="4"/>
  <c r="O64" i="4"/>
  <c r="A64" i="4"/>
  <c r="J63" i="4"/>
  <c r="A63" i="4"/>
  <c r="A62" i="4"/>
  <c r="P61" i="4"/>
  <c r="A61" i="4"/>
  <c r="A60" i="4"/>
  <c r="A59" i="4"/>
  <c r="S58" i="4"/>
  <c r="A58" i="4"/>
  <c r="A57" i="4"/>
  <c r="A56" i="4"/>
  <c r="AE55" i="4"/>
  <c r="A55" i="4"/>
  <c r="T54" i="4"/>
  <c r="A54" i="4"/>
  <c r="A53" i="4"/>
  <c r="A52" i="4"/>
  <c r="AE51" i="4"/>
  <c r="A51" i="4"/>
  <c r="T50" i="4"/>
  <c r="A50" i="4"/>
  <c r="A49" i="4"/>
  <c r="A48" i="4"/>
  <c r="AE47" i="4"/>
  <c r="A47" i="4"/>
  <c r="T46" i="4"/>
  <c r="A46" i="4"/>
  <c r="A45" i="4"/>
  <c r="A44" i="4"/>
  <c r="AE38" i="4"/>
  <c r="O35" i="4"/>
  <c r="AE34" i="4"/>
  <c r="O33" i="4"/>
  <c r="AE32" i="4"/>
  <c r="S31" i="4"/>
  <c r="AJ43" i="5" s="1"/>
  <c r="S30" i="4"/>
  <c r="AJ42" i="5" s="1"/>
  <c r="S29" i="4"/>
  <c r="AJ41" i="5" s="1"/>
  <c r="S28" i="4"/>
  <c r="AJ40" i="5" s="1"/>
  <c r="S27" i="4"/>
  <c r="AJ39" i="5" s="1"/>
  <c r="S26" i="4"/>
  <c r="AJ38" i="5" s="1"/>
  <c r="S25" i="4"/>
  <c r="AJ37" i="5" s="1"/>
  <c r="S24" i="4"/>
  <c r="AJ36" i="5" s="1"/>
  <c r="S23" i="4"/>
  <c r="AJ35" i="5" s="1"/>
  <c r="S22" i="4"/>
  <c r="AJ34" i="5" s="1"/>
  <c r="AA21" i="4"/>
  <c r="AZ33" i="5" s="1"/>
  <c r="I21" i="4"/>
  <c r="P33" i="5" s="1"/>
  <c r="AE20" i="4"/>
  <c r="BH32" i="5" s="1"/>
  <c r="O20" i="4"/>
  <c r="AB32" i="5" s="1"/>
  <c r="Y19" i="4"/>
  <c r="AV31" i="5" s="1"/>
  <c r="Y18" i="4"/>
  <c r="AV30" i="5" s="1"/>
  <c r="I18" i="4"/>
  <c r="P30" i="5" s="1"/>
  <c r="AI17" i="4"/>
  <c r="BP29" i="5" s="1"/>
  <c r="S17" i="4"/>
  <c r="AJ29" i="5" s="1"/>
  <c r="S16" i="4"/>
  <c r="AJ28" i="5" s="1"/>
  <c r="AJ67" i="4"/>
  <c r="AH52" i="4"/>
  <c r="AE64" i="4"/>
  <c r="AA62" i="4"/>
  <c r="W60" i="4"/>
  <c r="R52" i="4"/>
  <c r="L50" i="4"/>
  <c r="H59" i="4"/>
  <c r="B10" i="4"/>
  <c r="B9" i="4"/>
  <c r="B8" i="4"/>
  <c r="B7" i="4"/>
  <c r="B6" i="4"/>
  <c r="B5" i="4"/>
  <c r="B4" i="4"/>
  <c r="I16" i="4"/>
  <c r="Y16" i="4"/>
  <c r="Y17" i="4"/>
  <c r="AV29" i="5" s="1"/>
  <c r="O18" i="4"/>
  <c r="AB30" i="5" s="1"/>
  <c r="AE18" i="4"/>
  <c r="BH30" i="5" s="1"/>
  <c r="I19" i="4"/>
  <c r="P31" i="5" s="1"/>
  <c r="AA19" i="4"/>
  <c r="AZ31" i="5" s="1"/>
  <c r="Q20" i="4"/>
  <c r="AF32" i="5" s="1"/>
  <c r="AI20" i="4"/>
  <c r="BP32" i="5" s="1"/>
  <c r="O21" i="4"/>
  <c r="AB33" i="5" s="1"/>
  <c r="AE21" i="4"/>
  <c r="BH33" i="5" s="1"/>
  <c r="Y22" i="4"/>
  <c r="AV34" i="5" s="1"/>
  <c r="Y23" i="4"/>
  <c r="AV35" i="5" s="1"/>
  <c r="Y24" i="4"/>
  <c r="AV36" i="5" s="1"/>
  <c r="Y25" i="4"/>
  <c r="AV37" i="5" s="1"/>
  <c r="Y26" i="4"/>
  <c r="AV38" i="5" s="1"/>
  <c r="Y27" i="4"/>
  <c r="AV39" i="5" s="1"/>
  <c r="Y28" i="4"/>
  <c r="AV40" i="5" s="1"/>
  <c r="Y29" i="4"/>
  <c r="AV41" i="5" s="1"/>
  <c r="Y30" i="4"/>
  <c r="AV42" i="5" s="1"/>
  <c r="Y31" i="4"/>
  <c r="AV43" i="5" s="1"/>
  <c r="AI32" i="4"/>
  <c r="BP44" i="5" s="1"/>
  <c r="S33" i="4"/>
  <c r="AJ45" i="5" s="1"/>
  <c r="AI34" i="4"/>
  <c r="BP46" i="5" s="1"/>
  <c r="S35" i="4"/>
  <c r="AJ47" i="5" s="1"/>
  <c r="AI38" i="4"/>
  <c r="BP50" i="5" s="1"/>
  <c r="J44" i="4"/>
  <c r="AF46" i="4"/>
  <c r="AL46" i="4" s="1"/>
  <c r="AI47" i="4"/>
  <c r="J48" i="4"/>
  <c r="AF50" i="4"/>
  <c r="AL50" i="4" s="1"/>
  <c r="AI51" i="4"/>
  <c r="J52" i="4"/>
  <c r="AF54" i="4"/>
  <c r="AL54" i="4" s="1"/>
  <c r="AI55" i="4"/>
  <c r="J56" i="4"/>
  <c r="Y58" i="4"/>
  <c r="AF61" i="4"/>
  <c r="P63" i="4"/>
  <c r="T64" i="4"/>
  <c r="AI65" i="4"/>
  <c r="I66" i="4"/>
  <c r="AF67" i="4"/>
  <c r="AL67" i="4" s="1"/>
  <c r="I68" i="4"/>
  <c r="O16" i="4"/>
  <c r="AB28" i="5" s="1"/>
  <c r="AE16" i="4"/>
  <c r="BH28" i="5" s="1"/>
  <c r="I17" i="4"/>
  <c r="P29" i="5" s="1"/>
  <c r="AA17" i="4"/>
  <c r="AZ29" i="5" s="1"/>
  <c r="Q18" i="4"/>
  <c r="AF30" i="5" s="1"/>
  <c r="AI18" i="4"/>
  <c r="BP30" i="5" s="1"/>
  <c r="O19" i="4"/>
  <c r="AB31" i="5" s="1"/>
  <c r="AE19" i="4"/>
  <c r="BH31" i="5" s="1"/>
  <c r="S20" i="4"/>
  <c r="AJ32" i="5" s="1"/>
  <c r="S21" i="4"/>
  <c r="AJ33" i="5" s="1"/>
  <c r="AI21" i="4"/>
  <c r="BP33" i="5" s="1"/>
  <c r="I22" i="4"/>
  <c r="P34" i="5" s="1"/>
  <c r="AE22" i="4"/>
  <c r="BH34" i="5" s="1"/>
  <c r="I23" i="4"/>
  <c r="P35" i="5" s="1"/>
  <c r="AE23" i="4"/>
  <c r="BH35" i="5" s="1"/>
  <c r="I24" i="4"/>
  <c r="P36" i="5" s="1"/>
  <c r="AE24" i="4"/>
  <c r="BH36" i="5" s="1"/>
  <c r="I25" i="4"/>
  <c r="P37" i="5" s="1"/>
  <c r="AE25" i="4"/>
  <c r="BH37" i="5" s="1"/>
  <c r="I26" i="4"/>
  <c r="P38" i="5" s="1"/>
  <c r="AE26" i="4"/>
  <c r="BH38" i="5" s="1"/>
  <c r="I27" i="4"/>
  <c r="P39" i="5" s="1"/>
  <c r="AE27" i="4"/>
  <c r="BH39" i="5" s="1"/>
  <c r="I28" i="4"/>
  <c r="P40" i="5" s="1"/>
  <c r="AE28" i="4"/>
  <c r="BH40" i="5" s="1"/>
  <c r="I29" i="4"/>
  <c r="P41" i="5" s="1"/>
  <c r="AE29" i="4"/>
  <c r="BH41" i="5" s="1"/>
  <c r="I30" i="4"/>
  <c r="P42" i="5" s="1"/>
  <c r="AE30" i="4"/>
  <c r="BH42" i="5" s="1"/>
  <c r="I31" i="4"/>
  <c r="P43" i="5" s="1"/>
  <c r="AE31" i="4"/>
  <c r="BH43" i="5" s="1"/>
  <c r="O32" i="4"/>
  <c r="AE33" i="4"/>
  <c r="BH45" i="5" s="1"/>
  <c r="O34" i="4"/>
  <c r="AE35" i="4"/>
  <c r="BH47" i="5" s="1"/>
  <c r="O38" i="4"/>
  <c r="AB50" i="5" s="1"/>
  <c r="Z44" i="4"/>
  <c r="I45" i="4"/>
  <c r="AJ46" i="4"/>
  <c r="O47" i="4"/>
  <c r="Z48" i="4"/>
  <c r="I49" i="4"/>
  <c r="AJ50" i="4"/>
  <c r="O51" i="4"/>
  <c r="Z52" i="4"/>
  <c r="I53" i="4"/>
  <c r="AJ54" i="4"/>
  <c r="O55" i="4"/>
  <c r="Z56" i="4"/>
  <c r="I57" i="4"/>
  <c r="AI58" i="4"/>
  <c r="Z63" i="4"/>
  <c r="Y64" i="4"/>
  <c r="S66" i="4"/>
  <c r="Y68" i="4"/>
  <c r="Q16" i="4"/>
  <c r="AF28" i="5" s="1"/>
  <c r="AI16" i="4"/>
  <c r="BP28" i="5" s="1"/>
  <c r="O17" i="4"/>
  <c r="AB29" i="5" s="1"/>
  <c r="AE17" i="4"/>
  <c r="BH29" i="5" s="1"/>
  <c r="S18" i="4"/>
  <c r="AJ30" i="5" s="1"/>
  <c r="S19" i="4"/>
  <c r="AJ31" i="5" s="1"/>
  <c r="AI19" i="4"/>
  <c r="BP31" i="5" s="1"/>
  <c r="I20" i="4"/>
  <c r="P32" i="5" s="1"/>
  <c r="Y20" i="4"/>
  <c r="AV32" i="5" s="1"/>
  <c r="Y21" i="4"/>
  <c r="AV33" i="5" s="1"/>
  <c r="O22" i="4"/>
  <c r="AB34" i="5" s="1"/>
  <c r="AI22" i="4"/>
  <c r="BP34" i="5" s="1"/>
  <c r="O23" i="4"/>
  <c r="AB35" i="5" s="1"/>
  <c r="AI23" i="4"/>
  <c r="BP35" i="5" s="1"/>
  <c r="O24" i="4"/>
  <c r="AB36" i="5" s="1"/>
  <c r="AI24" i="4"/>
  <c r="BP36" i="5" s="1"/>
  <c r="O25" i="4"/>
  <c r="AB37" i="5" s="1"/>
  <c r="AI25" i="4"/>
  <c r="BP37" i="5" s="1"/>
  <c r="O26" i="4"/>
  <c r="AB38" i="5" s="1"/>
  <c r="AI26" i="4"/>
  <c r="BP38" i="5" s="1"/>
  <c r="O27" i="4"/>
  <c r="AB39" i="5" s="1"/>
  <c r="AI27" i="4"/>
  <c r="BP39" i="5" s="1"/>
  <c r="O28" i="4"/>
  <c r="AB40" i="5" s="1"/>
  <c r="AI28" i="4"/>
  <c r="BP40" i="5" s="1"/>
  <c r="O29" i="4"/>
  <c r="AB41" i="5" s="1"/>
  <c r="AI29" i="4"/>
  <c r="BP41" i="5" s="1"/>
  <c r="O30" i="4"/>
  <c r="AB42" i="5" s="1"/>
  <c r="AI30" i="4"/>
  <c r="BP42" i="5" s="1"/>
  <c r="O31" i="4"/>
  <c r="AB43" i="5" s="1"/>
  <c r="AI31" i="4"/>
  <c r="BP43" i="5" s="1"/>
  <c r="S32" i="4"/>
  <c r="AJ44" i="5" s="1"/>
  <c r="AI33" i="4"/>
  <c r="BP45" i="5" s="1"/>
  <c r="S34" i="4"/>
  <c r="AJ46" i="5" s="1"/>
  <c r="AI35" i="4"/>
  <c r="BP47" i="5" s="1"/>
  <c r="S38" i="4"/>
  <c r="AJ50" i="5" s="1"/>
  <c r="Y45" i="4"/>
  <c r="P46" i="4"/>
  <c r="V46" i="4" s="1"/>
  <c r="S47" i="4"/>
  <c r="Y49" i="4"/>
  <c r="P50" i="4"/>
  <c r="S51" i="4"/>
  <c r="Y53" i="4"/>
  <c r="P54" i="4"/>
  <c r="V54" i="4" s="1"/>
  <c r="S55" i="4"/>
  <c r="Y57" i="4"/>
  <c r="I58" i="4"/>
  <c r="AF63" i="4"/>
  <c r="I64" i="4"/>
  <c r="Y66" i="4"/>
  <c r="W16" i="4"/>
  <c r="AR28" i="5" s="1"/>
  <c r="W20" i="4"/>
  <c r="AR32" i="5" s="1"/>
  <c r="W22" i="4"/>
  <c r="AR34" i="5" s="1"/>
  <c r="K23" i="4"/>
  <c r="T35" i="5" s="1"/>
  <c r="AA23" i="4"/>
  <c r="AZ35" i="5" s="1"/>
  <c r="W24" i="4"/>
  <c r="K25" i="4"/>
  <c r="AA25" i="4"/>
  <c r="AZ37" i="5" s="1"/>
  <c r="AA26" i="4"/>
  <c r="AZ38" i="5" s="1"/>
  <c r="AA27" i="4"/>
  <c r="AZ39" i="5" s="1"/>
  <c r="AA28" i="4"/>
  <c r="AZ40" i="5" s="1"/>
  <c r="AA29" i="4"/>
  <c r="AZ41" i="5" s="1"/>
  <c r="AA30" i="4"/>
  <c r="AZ42" i="5" s="1"/>
  <c r="AA31" i="4"/>
  <c r="AZ43" i="5" s="1"/>
  <c r="K33" i="4"/>
  <c r="T45" i="5" s="1"/>
  <c r="AA33" i="4"/>
  <c r="AZ45" i="5" s="1"/>
  <c r="K35" i="4"/>
  <c r="T47" i="5" s="1"/>
  <c r="AA35" i="4"/>
  <c r="AZ47" i="5" s="1"/>
  <c r="BH50" i="5"/>
  <c r="Q45" i="4"/>
  <c r="AG45" i="4"/>
  <c r="H50" i="4"/>
  <c r="N50" i="4" s="1"/>
  <c r="X50" i="4"/>
  <c r="AD50" i="4" s="1"/>
  <c r="K51" i="4"/>
  <c r="AA51" i="4"/>
  <c r="Q53" i="4"/>
  <c r="AG53" i="4"/>
  <c r="X59" i="4"/>
  <c r="Q60" i="4"/>
  <c r="K61" i="4"/>
  <c r="W18" i="4"/>
  <c r="AR30" i="5" s="1"/>
  <c r="AV28" i="5"/>
  <c r="AG16" i="4"/>
  <c r="AK16" i="4" s="1"/>
  <c r="BT28" i="5" s="1"/>
  <c r="AG18" i="4"/>
  <c r="BL30" i="5" s="1"/>
  <c r="AG20" i="4"/>
  <c r="BL32" i="5" s="1"/>
  <c r="Q22" i="4"/>
  <c r="AF34" i="5" s="1"/>
  <c r="AG22" i="4"/>
  <c r="Q24" i="4"/>
  <c r="AF36" i="5" s="1"/>
  <c r="AG24" i="4"/>
  <c r="BL36" i="5" s="1"/>
  <c r="W32" i="4"/>
  <c r="AR44" i="5" s="1"/>
  <c r="AB45" i="5"/>
  <c r="W34" i="4"/>
  <c r="AR46" i="5" s="1"/>
  <c r="AB47" i="5"/>
  <c r="R44" i="4"/>
  <c r="R69" i="4" s="1"/>
  <c r="AH44" i="4"/>
  <c r="AH69" i="4" s="1"/>
  <c r="G47" i="4"/>
  <c r="W47" i="4"/>
  <c r="AC47" i="4" s="1"/>
  <c r="AB50" i="4"/>
  <c r="G55" i="4"/>
  <c r="M55" i="4" s="1"/>
  <c r="W55" i="4"/>
  <c r="AC55" i="4" s="1"/>
  <c r="L68" i="4"/>
  <c r="T25" i="5"/>
  <c r="K67" i="4"/>
  <c r="L66" i="4"/>
  <c r="K63" i="4"/>
  <c r="L62" i="4"/>
  <c r="K59" i="4"/>
  <c r="L58" i="4"/>
  <c r="L65" i="4"/>
  <c r="K60" i="4"/>
  <c r="L59" i="4"/>
  <c r="L57" i="4"/>
  <c r="K54" i="4"/>
  <c r="L53" i="4"/>
  <c r="K50" i="4"/>
  <c r="L49" i="4"/>
  <c r="K46" i="4"/>
  <c r="L45" i="4"/>
  <c r="L67" i="4"/>
  <c r="K66" i="4"/>
  <c r="K65" i="4"/>
  <c r="L64" i="4"/>
  <c r="K58" i="4"/>
  <c r="K57" i="4"/>
  <c r="L56" i="4"/>
  <c r="K53" i="4"/>
  <c r="L52" i="4"/>
  <c r="K49" i="4"/>
  <c r="L48" i="4"/>
  <c r="K45" i="4"/>
  <c r="L44" i="4"/>
  <c r="L69" i="4" s="1"/>
  <c r="K68" i="4"/>
  <c r="K64" i="4"/>
  <c r="L63" i="4"/>
  <c r="L61" i="4"/>
  <c r="K56" i="4"/>
  <c r="L55" i="4"/>
  <c r="K52" i="4"/>
  <c r="L51" i="4"/>
  <c r="K48" i="4"/>
  <c r="L47" i="4"/>
  <c r="K44" i="4"/>
  <c r="K69" i="4" s="1"/>
  <c r="L35" i="4"/>
  <c r="V47" i="5" s="1"/>
  <c r="L34" i="4"/>
  <c r="V46" i="5" s="1"/>
  <c r="L33" i="4"/>
  <c r="V45" i="5" s="1"/>
  <c r="L32" i="4"/>
  <c r="V44" i="5" s="1"/>
  <c r="L31" i="4"/>
  <c r="V43" i="5" s="1"/>
  <c r="L30" i="4"/>
  <c r="V42" i="5" s="1"/>
  <c r="L29" i="4"/>
  <c r="L28" i="4"/>
  <c r="V40" i="5" s="1"/>
  <c r="L27" i="4"/>
  <c r="V39" i="5" s="1"/>
  <c r="L26" i="4"/>
  <c r="V38" i="5" s="1"/>
  <c r="L25" i="4"/>
  <c r="V37" i="5" s="1"/>
  <c r="L24" i="4"/>
  <c r="V36" i="5" s="1"/>
  <c r="L23" i="4"/>
  <c r="V35" i="5" s="1"/>
  <c r="L22" i="4"/>
  <c r="V34" i="5" s="1"/>
  <c r="L21" i="4"/>
  <c r="V33" i="5" s="1"/>
  <c r="L20" i="4"/>
  <c r="V32" i="5" s="1"/>
  <c r="L19" i="4"/>
  <c r="V31" i="5" s="1"/>
  <c r="L18" i="4"/>
  <c r="V30" i="5" s="1"/>
  <c r="L17" i="4"/>
  <c r="V29" i="5" s="1"/>
  <c r="L16" i="4"/>
  <c r="V28" i="5" s="1"/>
  <c r="X68" i="4"/>
  <c r="AR25" i="5"/>
  <c r="W67" i="4"/>
  <c r="AC67" i="4" s="1"/>
  <c r="X66" i="4"/>
  <c r="AD66" i="4" s="1"/>
  <c r="W63" i="4"/>
  <c r="X62" i="4"/>
  <c r="W59" i="4"/>
  <c r="X58" i="4"/>
  <c r="AD58" i="4" s="1"/>
  <c r="W68" i="4"/>
  <c r="AC68" i="4" s="1"/>
  <c r="W66" i="4"/>
  <c r="AC66" i="4" s="1"/>
  <c r="W65" i="4"/>
  <c r="X64" i="4"/>
  <c r="W58" i="4"/>
  <c r="AC58" i="4" s="1"/>
  <c r="X57" i="4"/>
  <c r="AD57" i="4" s="1"/>
  <c r="W54" i="4"/>
  <c r="AC54" i="4" s="1"/>
  <c r="X53" i="4"/>
  <c r="AD53" i="4" s="1"/>
  <c r="W50" i="4"/>
  <c r="AC50" i="4" s="1"/>
  <c r="X49" i="4"/>
  <c r="AD49" i="4" s="1"/>
  <c r="W46" i="4"/>
  <c r="AC46" i="4" s="1"/>
  <c r="X45" i="4"/>
  <c r="AD45" i="4" s="1"/>
  <c r="W64" i="4"/>
  <c r="AC64" i="4" s="1"/>
  <c r="X63" i="4"/>
  <c r="AD63" i="4" s="1"/>
  <c r="X61" i="4"/>
  <c r="W57" i="4"/>
  <c r="AC57" i="4" s="1"/>
  <c r="X56" i="4"/>
  <c r="AD56" i="4" s="1"/>
  <c r="W53" i="4"/>
  <c r="AC53" i="4" s="1"/>
  <c r="X52" i="4"/>
  <c r="AD52" i="4" s="1"/>
  <c r="W49" i="4"/>
  <c r="X48" i="4"/>
  <c r="AD48" i="4" s="1"/>
  <c r="W45" i="4"/>
  <c r="X44" i="4"/>
  <c r="AD44" i="4" s="1"/>
  <c r="W62" i="4"/>
  <c r="AC62" i="4" s="1"/>
  <c r="W61" i="4"/>
  <c r="AC61" i="4" s="1"/>
  <c r="X60" i="4"/>
  <c r="W56" i="4"/>
  <c r="X55" i="4"/>
  <c r="W52" i="4"/>
  <c r="X51" i="4"/>
  <c r="AD51" i="4" s="1"/>
  <c r="W48" i="4"/>
  <c r="X47" i="4"/>
  <c r="AD47" i="4" s="1"/>
  <c r="W44" i="4"/>
  <c r="W69" i="4" s="1"/>
  <c r="X38" i="4"/>
  <c r="AT50" i="5" s="1"/>
  <c r="X35" i="4"/>
  <c r="AT47" i="5" s="1"/>
  <c r="X34" i="4"/>
  <c r="AT46" i="5" s="1"/>
  <c r="X33" i="4"/>
  <c r="AT45" i="5" s="1"/>
  <c r="X32" i="4"/>
  <c r="AT44" i="5" s="1"/>
  <c r="X31" i="4"/>
  <c r="AT43" i="5" s="1"/>
  <c r="X30" i="4"/>
  <c r="AT42" i="5" s="1"/>
  <c r="X29" i="4"/>
  <c r="AT41" i="5" s="1"/>
  <c r="X28" i="4"/>
  <c r="AT40" i="5" s="1"/>
  <c r="X27" i="4"/>
  <c r="AT39" i="5" s="1"/>
  <c r="X26" i="4"/>
  <c r="AT38" i="5" s="1"/>
  <c r="X25" i="4"/>
  <c r="AT37" i="5" s="1"/>
  <c r="X24" i="4"/>
  <c r="AT36" i="5" s="1"/>
  <c r="X23" i="4"/>
  <c r="X22" i="4"/>
  <c r="AT34" i="5" s="1"/>
  <c r="X21" i="4"/>
  <c r="AT33" i="5" s="1"/>
  <c r="X20" i="4"/>
  <c r="AT32" i="5" s="1"/>
  <c r="X19" i="4"/>
  <c r="AT31" i="5" s="1"/>
  <c r="X18" i="4"/>
  <c r="AT30" i="5" s="1"/>
  <c r="X17" i="4"/>
  <c r="X16" i="4"/>
  <c r="AT28" i="5" s="1"/>
  <c r="X67" i="4"/>
  <c r="AD67" i="4" s="1"/>
  <c r="AG67" i="4"/>
  <c r="BL25" i="5"/>
  <c r="AH68" i="4"/>
  <c r="AG65" i="4"/>
  <c r="AH64" i="4"/>
  <c r="AG61" i="4"/>
  <c r="AH60" i="4"/>
  <c r="AH66" i="4"/>
  <c r="AH65" i="4"/>
  <c r="AG59" i="4"/>
  <c r="AH58" i="4"/>
  <c r="AG56" i="4"/>
  <c r="AH55" i="4"/>
  <c r="AG52" i="4"/>
  <c r="AH51" i="4"/>
  <c r="AG48" i="4"/>
  <c r="AH47" i="4"/>
  <c r="AG44" i="4"/>
  <c r="AG69" i="4" s="1"/>
  <c r="AH38" i="4"/>
  <c r="BN50" i="5" s="1"/>
  <c r="AH35" i="4"/>
  <c r="BN47" i="5" s="1"/>
  <c r="AH34" i="4"/>
  <c r="BN46" i="5" s="1"/>
  <c r="AH33" i="4"/>
  <c r="BN45" i="5" s="1"/>
  <c r="AH32" i="4"/>
  <c r="BN44" i="5" s="1"/>
  <c r="AH31" i="4"/>
  <c r="BN43" i="5" s="1"/>
  <c r="AH30" i="4"/>
  <c r="BN42" i="5" s="1"/>
  <c r="AH29" i="4"/>
  <c r="BN41" i="5" s="1"/>
  <c r="AH28" i="4"/>
  <c r="BN40" i="5" s="1"/>
  <c r="AH27" i="4"/>
  <c r="BN39" i="5" s="1"/>
  <c r="AH26" i="4"/>
  <c r="BN38" i="5" s="1"/>
  <c r="AH25" i="4"/>
  <c r="BN37" i="5" s="1"/>
  <c r="AH24" i="4"/>
  <c r="BN36" i="5" s="1"/>
  <c r="AH23" i="4"/>
  <c r="BN35" i="5" s="1"/>
  <c r="AH22" i="4"/>
  <c r="BN34" i="5" s="1"/>
  <c r="AH21" i="4"/>
  <c r="BN33" i="5" s="1"/>
  <c r="AH20" i="4"/>
  <c r="BN32" i="5" s="1"/>
  <c r="AH19" i="4"/>
  <c r="BN31" i="5" s="1"/>
  <c r="AH18" i="4"/>
  <c r="BN30" i="5" s="1"/>
  <c r="AH17" i="4"/>
  <c r="BN29" i="5" s="1"/>
  <c r="AH16" i="4"/>
  <c r="BN28" i="5" s="1"/>
  <c r="AG66" i="4"/>
  <c r="AG64" i="4"/>
  <c r="AH63" i="4"/>
  <c r="AG58" i="4"/>
  <c r="AG55" i="4"/>
  <c r="AH54" i="4"/>
  <c r="AG51" i="4"/>
  <c r="AK51" i="4" s="1"/>
  <c r="AH50" i="4"/>
  <c r="AG47" i="4"/>
  <c r="AH46" i="4"/>
  <c r="AG38" i="4"/>
  <c r="BL50" i="5" s="1"/>
  <c r="AG35" i="4"/>
  <c r="AG34" i="4"/>
  <c r="BL46" i="5" s="1"/>
  <c r="AG33" i="4"/>
  <c r="BL45" i="5" s="1"/>
  <c r="AG32" i="4"/>
  <c r="BL44" i="5" s="1"/>
  <c r="AG31" i="4"/>
  <c r="BL43" i="5" s="1"/>
  <c r="AG30" i="4"/>
  <c r="BL42" i="5" s="1"/>
  <c r="AG29" i="4"/>
  <c r="BL41" i="5" s="1"/>
  <c r="AG28" i="4"/>
  <c r="AG27" i="4"/>
  <c r="AG26" i="4"/>
  <c r="BL38" i="5" s="1"/>
  <c r="AG25" i="4"/>
  <c r="BL37" i="5" s="1"/>
  <c r="AH67" i="4"/>
  <c r="AG63" i="4"/>
  <c r="AH62" i="4"/>
  <c r="AH61" i="4"/>
  <c r="AH57" i="4"/>
  <c r="AG54" i="4"/>
  <c r="AH53" i="4"/>
  <c r="AG50" i="4"/>
  <c r="AH49" i="4"/>
  <c r="AG46" i="4"/>
  <c r="AH45" i="4"/>
  <c r="AG68" i="4"/>
  <c r="K17" i="4"/>
  <c r="K21" i="4"/>
  <c r="AA50" i="5"/>
  <c r="H68" i="4"/>
  <c r="N68" i="4" s="1"/>
  <c r="G67" i="4"/>
  <c r="M67" i="4" s="1"/>
  <c r="H66" i="4"/>
  <c r="N66" i="4" s="1"/>
  <c r="G63" i="4"/>
  <c r="H62" i="4"/>
  <c r="N62" i="4" s="1"/>
  <c r="G59" i="4"/>
  <c r="M59" i="4" s="1"/>
  <c r="H58" i="4"/>
  <c r="N58" i="4" s="1"/>
  <c r="G68" i="4"/>
  <c r="M68" i="4" s="1"/>
  <c r="G66" i="4"/>
  <c r="G65" i="4"/>
  <c r="M65" i="4" s="1"/>
  <c r="H64" i="4"/>
  <c r="N64" i="4" s="1"/>
  <c r="G58" i="4"/>
  <c r="M58" i="4" s="1"/>
  <c r="H57" i="4"/>
  <c r="G54" i="4"/>
  <c r="H53" i="4"/>
  <c r="N53" i="4" s="1"/>
  <c r="G50" i="4"/>
  <c r="M50" i="4" s="1"/>
  <c r="H49" i="4"/>
  <c r="N49" i="4" s="1"/>
  <c r="G46" i="4"/>
  <c r="M46" i="4" s="1"/>
  <c r="H45" i="4"/>
  <c r="N45" i="4" s="1"/>
  <c r="G64" i="4"/>
  <c r="M64" i="4" s="1"/>
  <c r="H63" i="4"/>
  <c r="N63" i="4" s="1"/>
  <c r="H61" i="4"/>
  <c r="G57" i="4"/>
  <c r="M57" i="4" s="1"/>
  <c r="H56" i="4"/>
  <c r="N56" i="4" s="1"/>
  <c r="G53" i="4"/>
  <c r="M53" i="4" s="1"/>
  <c r="H52" i="4"/>
  <c r="N52" i="4" s="1"/>
  <c r="G49" i="4"/>
  <c r="H48" i="4"/>
  <c r="N48" i="4" s="1"/>
  <c r="G45" i="4"/>
  <c r="M45" i="4" s="1"/>
  <c r="H44" i="4"/>
  <c r="H69" i="4" s="1"/>
  <c r="G62" i="4"/>
  <c r="G61" i="4"/>
  <c r="M61" i="4" s="1"/>
  <c r="H60" i="4"/>
  <c r="N60" i="4" s="1"/>
  <c r="G56" i="4"/>
  <c r="H55" i="4"/>
  <c r="G52" i="4"/>
  <c r="H51" i="4"/>
  <c r="G48" i="4"/>
  <c r="H47" i="4"/>
  <c r="G44" i="4"/>
  <c r="G69" i="4" s="1"/>
  <c r="H38" i="4"/>
  <c r="N50" i="5" s="1"/>
  <c r="H35" i="4"/>
  <c r="N47" i="5" s="1"/>
  <c r="H34" i="4"/>
  <c r="N46" i="5" s="1"/>
  <c r="H33" i="4"/>
  <c r="N45" i="5" s="1"/>
  <c r="H32" i="4"/>
  <c r="N44" i="5" s="1"/>
  <c r="H31" i="4"/>
  <c r="N43" i="5" s="1"/>
  <c r="H30" i="4"/>
  <c r="N42" i="5" s="1"/>
  <c r="H29" i="4"/>
  <c r="N41" i="5" s="1"/>
  <c r="H28" i="4"/>
  <c r="N40" i="5" s="1"/>
  <c r="H27" i="4"/>
  <c r="N39" i="5" s="1"/>
  <c r="H26" i="4"/>
  <c r="N38" i="5" s="1"/>
  <c r="H25" i="4"/>
  <c r="H24" i="4"/>
  <c r="N36" i="5" s="1"/>
  <c r="H23" i="4"/>
  <c r="N35" i="5" s="1"/>
  <c r="H22" i="4"/>
  <c r="N34" i="5" s="1"/>
  <c r="H21" i="4"/>
  <c r="N33" i="5" s="1"/>
  <c r="H20" i="4"/>
  <c r="N32" i="5" s="1"/>
  <c r="H19" i="4"/>
  <c r="N31" i="5" s="1"/>
  <c r="H18" i="4"/>
  <c r="N30" i="5" s="1"/>
  <c r="H17" i="4"/>
  <c r="N29" i="5" s="1"/>
  <c r="H16" i="4"/>
  <c r="N28" i="5" s="1"/>
  <c r="H67" i="4"/>
  <c r="L25" i="5"/>
  <c r="Q67" i="4"/>
  <c r="R68" i="4"/>
  <c r="Q65" i="4"/>
  <c r="R64" i="4"/>
  <c r="Q61" i="4"/>
  <c r="R60" i="4"/>
  <c r="R66" i="4"/>
  <c r="R65" i="4"/>
  <c r="Q59" i="4"/>
  <c r="R58" i="4"/>
  <c r="Q56" i="4"/>
  <c r="R55" i="4"/>
  <c r="Q52" i="4"/>
  <c r="R51" i="4"/>
  <c r="Q48" i="4"/>
  <c r="R47" i="4"/>
  <c r="Q44" i="4"/>
  <c r="Q69" i="4" s="1"/>
  <c r="R38" i="4"/>
  <c r="AH50" i="5" s="1"/>
  <c r="R35" i="4"/>
  <c r="AH47" i="5" s="1"/>
  <c r="R34" i="4"/>
  <c r="AH46" i="5" s="1"/>
  <c r="R33" i="4"/>
  <c r="AH45" i="5" s="1"/>
  <c r="R32" i="4"/>
  <c r="AH44" i="5" s="1"/>
  <c r="R31" i="4"/>
  <c r="AH43" i="5" s="1"/>
  <c r="R30" i="4"/>
  <c r="AH42" i="5" s="1"/>
  <c r="R29" i="4"/>
  <c r="AH41" i="5" s="1"/>
  <c r="R28" i="4"/>
  <c r="AH40" i="5" s="1"/>
  <c r="R27" i="4"/>
  <c r="AH39" i="5" s="1"/>
  <c r="R26" i="4"/>
  <c r="AH38" i="5" s="1"/>
  <c r="R25" i="4"/>
  <c r="AH37" i="5" s="1"/>
  <c r="R24" i="4"/>
  <c r="AH36" i="5" s="1"/>
  <c r="R23" i="4"/>
  <c r="AH35" i="5" s="1"/>
  <c r="R22" i="4"/>
  <c r="AH34" i="5" s="1"/>
  <c r="R21" i="4"/>
  <c r="AH33" i="5" s="1"/>
  <c r="R20" i="4"/>
  <c r="AH32" i="5" s="1"/>
  <c r="R19" i="4"/>
  <c r="AH31" i="5" s="1"/>
  <c r="R18" i="4"/>
  <c r="AH30" i="5" s="1"/>
  <c r="R17" i="4"/>
  <c r="AH29" i="5" s="1"/>
  <c r="R16" i="4"/>
  <c r="AH28" i="5" s="1"/>
  <c r="Q31" i="4"/>
  <c r="AF43" i="5" s="1"/>
  <c r="Q30" i="4"/>
  <c r="AF42" i="5" s="1"/>
  <c r="Q29" i="4"/>
  <c r="AF41" i="5" s="1"/>
  <c r="Q28" i="4"/>
  <c r="AF40" i="5" s="1"/>
  <c r="Q27" i="4"/>
  <c r="AF39" i="5" s="1"/>
  <c r="Q26" i="4"/>
  <c r="AF38" i="5" s="1"/>
  <c r="Q66" i="4"/>
  <c r="Q64" i="4"/>
  <c r="R63" i="4"/>
  <c r="Q58" i="4"/>
  <c r="Q55" i="4"/>
  <c r="R54" i="4"/>
  <c r="Q51" i="4"/>
  <c r="R50" i="4"/>
  <c r="Q47" i="4"/>
  <c r="R46" i="4"/>
  <c r="Q38" i="4"/>
  <c r="AF50" i="5" s="1"/>
  <c r="Q35" i="4"/>
  <c r="AF47" i="5" s="1"/>
  <c r="Q34" i="4"/>
  <c r="AF46" i="5" s="1"/>
  <c r="Q33" i="4"/>
  <c r="AF45" i="5" s="1"/>
  <c r="Q32" i="4"/>
  <c r="AF44" i="5" s="1"/>
  <c r="AF25" i="5"/>
  <c r="R67" i="4"/>
  <c r="Q63" i="4"/>
  <c r="R62" i="4"/>
  <c r="R61" i="4"/>
  <c r="R57" i="4"/>
  <c r="Q54" i="4"/>
  <c r="R53" i="4"/>
  <c r="Q50" i="4"/>
  <c r="R49" i="4"/>
  <c r="Q46" i="4"/>
  <c r="R45" i="4"/>
  <c r="Q68" i="4"/>
  <c r="AB68" i="4"/>
  <c r="AA67" i="4"/>
  <c r="AB66" i="4"/>
  <c r="AA63" i="4"/>
  <c r="AB62" i="4"/>
  <c r="AA59" i="4"/>
  <c r="AB58" i="4"/>
  <c r="AB65" i="4"/>
  <c r="AA60" i="4"/>
  <c r="AB59" i="4"/>
  <c r="AB57" i="4"/>
  <c r="AA54" i="4"/>
  <c r="AB53" i="4"/>
  <c r="AA50" i="4"/>
  <c r="AB49" i="4"/>
  <c r="AA46" i="4"/>
  <c r="AB45" i="4"/>
  <c r="AZ25" i="5"/>
  <c r="AB67" i="4"/>
  <c r="AA66" i="4"/>
  <c r="AA65" i="4"/>
  <c r="AB64" i="4"/>
  <c r="AA58" i="4"/>
  <c r="AA57" i="4"/>
  <c r="AB56" i="4"/>
  <c r="AA53" i="4"/>
  <c r="AB52" i="4"/>
  <c r="AA49" i="4"/>
  <c r="AB48" i="4"/>
  <c r="AA45" i="4"/>
  <c r="AB44" i="4"/>
  <c r="AB69" i="4" s="1"/>
  <c r="AA68" i="4"/>
  <c r="AA64" i="4"/>
  <c r="AB63" i="4"/>
  <c r="AB61" i="4"/>
  <c r="AA56" i="4"/>
  <c r="AB55" i="4"/>
  <c r="AA52" i="4"/>
  <c r="AB51" i="4"/>
  <c r="AA48" i="4"/>
  <c r="AB47" i="4"/>
  <c r="AA44" i="4"/>
  <c r="AA69" i="4" s="1"/>
  <c r="AB38" i="4"/>
  <c r="BB50" i="5" s="1"/>
  <c r="AB35" i="4"/>
  <c r="BB47" i="5" s="1"/>
  <c r="AB34" i="4"/>
  <c r="BB46" i="5" s="1"/>
  <c r="AB33" i="4"/>
  <c r="BB45" i="5" s="1"/>
  <c r="AB32" i="4"/>
  <c r="BB44" i="5" s="1"/>
  <c r="AB31" i="4"/>
  <c r="BB43" i="5" s="1"/>
  <c r="AB30" i="4"/>
  <c r="BB42" i="5" s="1"/>
  <c r="AB29" i="4"/>
  <c r="BB41" i="5" s="1"/>
  <c r="AB28" i="4"/>
  <c r="BB40" i="5" s="1"/>
  <c r="AB27" i="4"/>
  <c r="BB39" i="5" s="1"/>
  <c r="AB26" i="4"/>
  <c r="BB38" i="5" s="1"/>
  <c r="AB25" i="4"/>
  <c r="BB37" i="5" s="1"/>
  <c r="AB24" i="4"/>
  <c r="BB36" i="5" s="1"/>
  <c r="AB23" i="4"/>
  <c r="BB35" i="5" s="1"/>
  <c r="AB22" i="4"/>
  <c r="BB34" i="5" s="1"/>
  <c r="AB21" i="4"/>
  <c r="BB33" i="5" s="1"/>
  <c r="AB20" i="4"/>
  <c r="BB32" i="5" s="1"/>
  <c r="AB19" i="4"/>
  <c r="BB31" i="5" s="1"/>
  <c r="AB18" i="4"/>
  <c r="BB30" i="5" s="1"/>
  <c r="AB17" i="4"/>
  <c r="BB29" i="5" s="1"/>
  <c r="AB16" i="4"/>
  <c r="BB28" i="5" s="1"/>
  <c r="K16" i="4"/>
  <c r="M16" i="4" s="1"/>
  <c r="X28" i="5" s="1"/>
  <c r="K18" i="4"/>
  <c r="T30" i="5" s="1"/>
  <c r="K20" i="4"/>
  <c r="T32" i="5" s="1"/>
  <c r="K22" i="4"/>
  <c r="T34" i="5" s="1"/>
  <c r="K24" i="4"/>
  <c r="T36" i="5" s="1"/>
  <c r="W25" i="4"/>
  <c r="AR37" i="5" s="1"/>
  <c r="W26" i="4"/>
  <c r="W27" i="4"/>
  <c r="W28" i="4"/>
  <c r="AR40" i="5" s="1"/>
  <c r="W29" i="4"/>
  <c r="W30" i="4"/>
  <c r="AR42" i="5" s="1"/>
  <c r="W31" i="4"/>
  <c r="AR43" i="5" s="1"/>
  <c r="K32" i="4"/>
  <c r="T44" i="5" s="1"/>
  <c r="AA32" i="4"/>
  <c r="AZ44" i="5" s="1"/>
  <c r="K34" i="4"/>
  <c r="AA34" i="4"/>
  <c r="AZ46" i="5" s="1"/>
  <c r="G38" i="4"/>
  <c r="L50" i="5" s="1"/>
  <c r="W38" i="4"/>
  <c r="AR50" i="5" s="1"/>
  <c r="H46" i="4"/>
  <c r="X46" i="4"/>
  <c r="K47" i="4"/>
  <c r="AA47" i="4"/>
  <c r="Q49" i="4"/>
  <c r="AG49" i="4"/>
  <c r="H54" i="4"/>
  <c r="X54" i="4"/>
  <c r="K55" i="4"/>
  <c r="AA55" i="4"/>
  <c r="Q57" i="4"/>
  <c r="AG57" i="4"/>
  <c r="AH59" i="4"/>
  <c r="G60" i="4"/>
  <c r="AB60" i="4"/>
  <c r="K62" i="4"/>
  <c r="AG62" i="4"/>
  <c r="X65" i="4"/>
  <c r="AD65" i="4" s="1"/>
  <c r="K19" i="4"/>
  <c r="T31" i="5" s="1"/>
  <c r="P28" i="5"/>
  <c r="AA16" i="4"/>
  <c r="AZ28" i="5" s="1"/>
  <c r="W17" i="4"/>
  <c r="AC17" i="4" s="1"/>
  <c r="BD29" i="5" s="1"/>
  <c r="AA18" i="4"/>
  <c r="AZ30" i="5" s="1"/>
  <c r="W19" i="4"/>
  <c r="AR31" i="5" s="1"/>
  <c r="AA20" i="4"/>
  <c r="AZ32" i="5" s="1"/>
  <c r="W21" i="4"/>
  <c r="AC21" i="4" s="1"/>
  <c r="BD33" i="5" s="1"/>
  <c r="AA22" i="4"/>
  <c r="AZ34" i="5" s="1"/>
  <c r="W23" i="4"/>
  <c r="AR35" i="5" s="1"/>
  <c r="AA24" i="4"/>
  <c r="AZ36" i="5" s="1"/>
  <c r="U16" i="4"/>
  <c r="AN28" i="5" s="1"/>
  <c r="Q17" i="4"/>
  <c r="U17" i="4" s="1"/>
  <c r="AN29" i="5" s="1"/>
  <c r="AG17" i="4"/>
  <c r="AK17" i="4" s="1"/>
  <c r="BT29" i="5" s="1"/>
  <c r="U18" i="4"/>
  <c r="AN30" i="5" s="1"/>
  <c r="Q19" i="4"/>
  <c r="AF31" i="5" s="1"/>
  <c r="AG19" i="4"/>
  <c r="AK19" i="4" s="1"/>
  <c r="BT31" i="5" s="1"/>
  <c r="U20" i="4"/>
  <c r="AN32" i="5" s="1"/>
  <c r="Q21" i="4"/>
  <c r="U21" i="4" s="1"/>
  <c r="AN33" i="5" s="1"/>
  <c r="AG21" i="4"/>
  <c r="BL33" i="5" s="1"/>
  <c r="Q23" i="4"/>
  <c r="AG23" i="4"/>
  <c r="BL35" i="5" s="1"/>
  <c r="Q25" i="4"/>
  <c r="AF37" i="5" s="1"/>
  <c r="K26" i="4"/>
  <c r="T38" i="5" s="1"/>
  <c r="K27" i="4"/>
  <c r="T39" i="5" s="1"/>
  <c r="K28" i="4"/>
  <c r="T40" i="5" s="1"/>
  <c r="K29" i="4"/>
  <c r="T41" i="5" s="1"/>
  <c r="K30" i="4"/>
  <c r="T42" i="5" s="1"/>
  <c r="K31" i="4"/>
  <c r="T43" i="5" s="1"/>
  <c r="AB44" i="5"/>
  <c r="BH44" i="5"/>
  <c r="W33" i="4"/>
  <c r="AR45" i="5" s="1"/>
  <c r="AB46" i="5"/>
  <c r="BH46" i="5"/>
  <c r="W35" i="4"/>
  <c r="AR47" i="5" s="1"/>
  <c r="B36" i="4"/>
  <c r="B40" i="4" s="1"/>
  <c r="K38" i="4"/>
  <c r="T50" i="5" s="1"/>
  <c r="AA38" i="4"/>
  <c r="AZ50" i="5" s="1"/>
  <c r="L46" i="4"/>
  <c r="AB46" i="4"/>
  <c r="U47" i="4"/>
  <c r="AK47" i="4"/>
  <c r="R48" i="4"/>
  <c r="AH48" i="4"/>
  <c r="G51" i="4"/>
  <c r="W51" i="4"/>
  <c r="AC51" i="4" s="1"/>
  <c r="L54" i="4"/>
  <c r="AB54" i="4"/>
  <c r="U55" i="4"/>
  <c r="AK55" i="4"/>
  <c r="R56" i="4"/>
  <c r="AH56" i="4"/>
  <c r="R59" i="4"/>
  <c r="L60" i="4"/>
  <c r="AG60" i="4"/>
  <c r="AA61" i="4"/>
  <c r="Q62" i="4"/>
  <c r="H65" i="4"/>
  <c r="N65" i="4" s="1"/>
  <c r="I67" i="4"/>
  <c r="P25" i="5"/>
  <c r="J68" i="4"/>
  <c r="I65" i="4"/>
  <c r="J64" i="4"/>
  <c r="I61" i="4"/>
  <c r="J60" i="4"/>
  <c r="T68" i="4"/>
  <c r="AQ35" i="5"/>
  <c r="AQ31" i="5"/>
  <c r="AJ25" i="5"/>
  <c r="S67" i="4"/>
  <c r="T66" i="4"/>
  <c r="S63" i="4"/>
  <c r="T62" i="4"/>
  <c r="S59" i="4"/>
  <c r="T58" i="4"/>
  <c r="AF68" i="4"/>
  <c r="BH25" i="5"/>
  <c r="AE67" i="4"/>
  <c r="AF66" i="4"/>
  <c r="AE63" i="4"/>
  <c r="AK63" i="4" s="1"/>
  <c r="AF62" i="4"/>
  <c r="AE59" i="4"/>
  <c r="AK59" i="4" s="1"/>
  <c r="AF58" i="4"/>
  <c r="P16" i="4"/>
  <c r="T16" i="4"/>
  <c r="AL28" i="5" s="1"/>
  <c r="AF16" i="4"/>
  <c r="BJ28" i="5" s="1"/>
  <c r="AJ16" i="4"/>
  <c r="BR28" i="5" s="1"/>
  <c r="P17" i="4"/>
  <c r="AD29" i="5" s="1"/>
  <c r="T17" i="4"/>
  <c r="AL29" i="5" s="1"/>
  <c r="AF17" i="4"/>
  <c r="BJ29" i="5" s="1"/>
  <c r="AJ17" i="4"/>
  <c r="BR29" i="5" s="1"/>
  <c r="P18" i="4"/>
  <c r="T18" i="4"/>
  <c r="AL30" i="5" s="1"/>
  <c r="AF18" i="4"/>
  <c r="BJ30" i="5" s="1"/>
  <c r="AJ18" i="4"/>
  <c r="BR30" i="5" s="1"/>
  <c r="P19" i="4"/>
  <c r="AD31" i="5" s="1"/>
  <c r="T19" i="4"/>
  <c r="AL31" i="5" s="1"/>
  <c r="AF19" i="4"/>
  <c r="BJ31" i="5" s="1"/>
  <c r="AJ19" i="4"/>
  <c r="BR31" i="5" s="1"/>
  <c r="P20" i="4"/>
  <c r="T20" i="4"/>
  <c r="AL32" i="5" s="1"/>
  <c r="AF20" i="4"/>
  <c r="BJ32" i="5" s="1"/>
  <c r="AJ20" i="4"/>
  <c r="BR32" i="5" s="1"/>
  <c r="P21" i="4"/>
  <c r="T21" i="4"/>
  <c r="AL33" i="5" s="1"/>
  <c r="AF21" i="4"/>
  <c r="BJ33" i="5" s="1"/>
  <c r="AJ21" i="4"/>
  <c r="BR33" i="5" s="1"/>
  <c r="P22" i="4"/>
  <c r="T22" i="4"/>
  <c r="AL34" i="5" s="1"/>
  <c r="AF22" i="4"/>
  <c r="BJ34" i="5" s="1"/>
  <c r="AJ22" i="4"/>
  <c r="BR34" i="5" s="1"/>
  <c r="P23" i="4"/>
  <c r="AD35" i="5" s="1"/>
  <c r="T23" i="4"/>
  <c r="AL35" i="5" s="1"/>
  <c r="AF23" i="4"/>
  <c r="BJ35" i="5" s="1"/>
  <c r="AJ23" i="4"/>
  <c r="BR35" i="5" s="1"/>
  <c r="P24" i="4"/>
  <c r="T24" i="4"/>
  <c r="AL36" i="5" s="1"/>
  <c r="AF24" i="4"/>
  <c r="BJ36" i="5" s="1"/>
  <c r="AJ24" i="4"/>
  <c r="BR36" i="5" s="1"/>
  <c r="P25" i="4"/>
  <c r="AD37" i="5" s="1"/>
  <c r="T25" i="4"/>
  <c r="AL37" i="5" s="1"/>
  <c r="AF25" i="4"/>
  <c r="BJ37" i="5" s="1"/>
  <c r="AJ25" i="4"/>
  <c r="BR37" i="5" s="1"/>
  <c r="P26" i="4"/>
  <c r="T26" i="4"/>
  <c r="AL38" i="5" s="1"/>
  <c r="AF26" i="4"/>
  <c r="BJ38" i="5" s="1"/>
  <c r="AJ26" i="4"/>
  <c r="BR38" i="5" s="1"/>
  <c r="P27" i="4"/>
  <c r="AD39" i="5" s="1"/>
  <c r="T27" i="4"/>
  <c r="AL39" i="5" s="1"/>
  <c r="AF27" i="4"/>
  <c r="BJ39" i="5" s="1"/>
  <c r="AJ27" i="4"/>
  <c r="BR39" i="5" s="1"/>
  <c r="P28" i="4"/>
  <c r="T28" i="4"/>
  <c r="AL40" i="5" s="1"/>
  <c r="AF28" i="4"/>
  <c r="BJ40" i="5" s="1"/>
  <c r="AJ28" i="4"/>
  <c r="BR40" i="5" s="1"/>
  <c r="P29" i="4"/>
  <c r="T29" i="4"/>
  <c r="AL41" i="5" s="1"/>
  <c r="AF29" i="4"/>
  <c r="AJ29" i="4"/>
  <c r="BR41" i="5" s="1"/>
  <c r="P30" i="4"/>
  <c r="AD42" i="5" s="1"/>
  <c r="T30" i="4"/>
  <c r="AL42" i="5" s="1"/>
  <c r="AF30" i="4"/>
  <c r="AJ30" i="4"/>
  <c r="BR42" i="5" s="1"/>
  <c r="P31" i="4"/>
  <c r="AD43" i="5" s="1"/>
  <c r="T31" i="4"/>
  <c r="AL43" i="5" s="1"/>
  <c r="AF31" i="4"/>
  <c r="AJ31" i="4"/>
  <c r="BR43" i="5" s="1"/>
  <c r="P32" i="4"/>
  <c r="AD44" i="5" s="1"/>
  <c r="T32" i="4"/>
  <c r="AL44" i="5" s="1"/>
  <c r="AF32" i="4"/>
  <c r="BJ44" i="5" s="1"/>
  <c r="AJ32" i="4"/>
  <c r="BR44" i="5" s="1"/>
  <c r="P33" i="4"/>
  <c r="T33" i="4"/>
  <c r="AL45" i="5" s="1"/>
  <c r="AF33" i="4"/>
  <c r="AJ33" i="4"/>
  <c r="BR45" i="5" s="1"/>
  <c r="P34" i="4"/>
  <c r="AD46" i="5" s="1"/>
  <c r="T34" i="4"/>
  <c r="AL46" i="5" s="1"/>
  <c r="AF34" i="4"/>
  <c r="BJ46" i="5" s="1"/>
  <c r="AJ34" i="4"/>
  <c r="BR46" i="5" s="1"/>
  <c r="P35" i="4"/>
  <c r="AD47" i="5" s="1"/>
  <c r="T35" i="4"/>
  <c r="AL47" i="5" s="1"/>
  <c r="AF35" i="4"/>
  <c r="BJ47" i="5" s="1"/>
  <c r="AJ35" i="4"/>
  <c r="BR47" i="5" s="1"/>
  <c r="P38" i="4"/>
  <c r="AD50" i="5" s="1"/>
  <c r="T38" i="4"/>
  <c r="AL50" i="5" s="1"/>
  <c r="AF38" i="4"/>
  <c r="BJ50" i="5" s="1"/>
  <c r="AJ38" i="4"/>
  <c r="BR50" i="5" s="1"/>
  <c r="O44" i="4"/>
  <c r="U44" i="4" s="1"/>
  <c r="S44" i="4"/>
  <c r="AE44" i="4"/>
  <c r="AK44" i="4" s="1"/>
  <c r="AI44" i="4"/>
  <c r="J45" i="4"/>
  <c r="Z45" i="4"/>
  <c r="I46" i="4"/>
  <c r="Y46" i="4"/>
  <c r="P47" i="4"/>
  <c r="V47" i="4" s="1"/>
  <c r="T47" i="4"/>
  <c r="AF47" i="4"/>
  <c r="AJ47" i="4"/>
  <c r="O48" i="4"/>
  <c r="U48" i="4" s="1"/>
  <c r="S48" i="4"/>
  <c r="AE48" i="4"/>
  <c r="AK48" i="4" s="1"/>
  <c r="AI48" i="4"/>
  <c r="J49" i="4"/>
  <c r="Z49" i="4"/>
  <c r="I50" i="4"/>
  <c r="Y50" i="4"/>
  <c r="P51" i="4"/>
  <c r="V51" i="4" s="1"/>
  <c r="T51" i="4"/>
  <c r="AF51" i="4"/>
  <c r="AL51" i="4" s="1"/>
  <c r="AJ51" i="4"/>
  <c r="O52" i="4"/>
  <c r="U52" i="4" s="1"/>
  <c r="S52" i="4"/>
  <c r="AE52" i="4"/>
  <c r="AK52" i="4" s="1"/>
  <c r="AI52" i="4"/>
  <c r="J53" i="4"/>
  <c r="Z53" i="4"/>
  <c r="I54" i="4"/>
  <c r="Y54" i="4"/>
  <c r="P55" i="4"/>
  <c r="V55" i="4" s="1"/>
  <c r="T55" i="4"/>
  <c r="AF55" i="4"/>
  <c r="AL55" i="4" s="1"/>
  <c r="AJ55" i="4"/>
  <c r="O56" i="4"/>
  <c r="U56" i="4" s="1"/>
  <c r="S56" i="4"/>
  <c r="AE56" i="4"/>
  <c r="AK56" i="4" s="1"/>
  <c r="AI56" i="4"/>
  <c r="J57" i="4"/>
  <c r="Z57" i="4"/>
  <c r="J58" i="4"/>
  <c r="O58" i="4"/>
  <c r="U58" i="4" s="1"/>
  <c r="Z58" i="4"/>
  <c r="AE58" i="4"/>
  <c r="AK58" i="4" s="1"/>
  <c r="I59" i="4"/>
  <c r="T59" i="4"/>
  <c r="Y59" i="4"/>
  <c r="AJ59" i="4"/>
  <c r="S60" i="4"/>
  <c r="AI60" i="4"/>
  <c r="P64" i="4"/>
  <c r="V64" i="4" s="1"/>
  <c r="AF64" i="4"/>
  <c r="AL64" i="4" s="1"/>
  <c r="J65" i="4"/>
  <c r="O65" i="4"/>
  <c r="U65" i="4" s="1"/>
  <c r="T65" i="4"/>
  <c r="Z65" i="4"/>
  <c r="AE65" i="4"/>
  <c r="AK65" i="4" s="1"/>
  <c r="AJ65" i="4"/>
  <c r="J66" i="4"/>
  <c r="O66" i="4"/>
  <c r="U66" i="4" s="1"/>
  <c r="Z66" i="4"/>
  <c r="AE66" i="4"/>
  <c r="AK66" i="4" s="1"/>
  <c r="J67" i="4"/>
  <c r="Z67" i="4"/>
  <c r="S68" i="4"/>
  <c r="AI68" i="4"/>
  <c r="I32" i="4"/>
  <c r="P44" i="5" s="1"/>
  <c r="Y32" i="4"/>
  <c r="I33" i="4"/>
  <c r="P45" i="5" s="1"/>
  <c r="Y33" i="4"/>
  <c r="AV45" i="5" s="1"/>
  <c r="I34" i="4"/>
  <c r="P46" i="5" s="1"/>
  <c r="Y34" i="4"/>
  <c r="AV46" i="5" s="1"/>
  <c r="I35" i="4"/>
  <c r="M35" i="4" s="1"/>
  <c r="X47" i="5" s="1"/>
  <c r="Y35" i="4"/>
  <c r="AV47" i="5" s="1"/>
  <c r="I38" i="4"/>
  <c r="P50" i="5" s="1"/>
  <c r="Y38" i="4"/>
  <c r="AV50" i="5" s="1"/>
  <c r="P44" i="4"/>
  <c r="V44" i="4" s="1"/>
  <c r="T44" i="4"/>
  <c r="AF44" i="4"/>
  <c r="AL44" i="4" s="1"/>
  <c r="AJ44" i="4"/>
  <c r="O45" i="4"/>
  <c r="U45" i="4" s="1"/>
  <c r="S45" i="4"/>
  <c r="AE45" i="4"/>
  <c r="AK45" i="4" s="1"/>
  <c r="AI45" i="4"/>
  <c r="J46" i="4"/>
  <c r="Z46" i="4"/>
  <c r="I47" i="4"/>
  <c r="Y47" i="4"/>
  <c r="P48" i="4"/>
  <c r="V48" i="4" s="1"/>
  <c r="T48" i="4"/>
  <c r="AF48" i="4"/>
  <c r="AL48" i="4" s="1"/>
  <c r="AJ48" i="4"/>
  <c r="O49" i="4"/>
  <c r="U49" i="4" s="1"/>
  <c r="S49" i="4"/>
  <c r="AE49" i="4"/>
  <c r="AK49" i="4" s="1"/>
  <c r="AI49" i="4"/>
  <c r="J50" i="4"/>
  <c r="Z50" i="4"/>
  <c r="I51" i="4"/>
  <c r="Y51" i="4"/>
  <c r="P52" i="4"/>
  <c r="V52" i="4" s="1"/>
  <c r="T52" i="4"/>
  <c r="AF52" i="4"/>
  <c r="AL52" i="4" s="1"/>
  <c r="AJ52" i="4"/>
  <c r="O53" i="4"/>
  <c r="U53" i="4" s="1"/>
  <c r="S53" i="4"/>
  <c r="AE53" i="4"/>
  <c r="AK53" i="4" s="1"/>
  <c r="AI53" i="4"/>
  <c r="J54" i="4"/>
  <c r="Z54" i="4"/>
  <c r="I55" i="4"/>
  <c r="Y55" i="4"/>
  <c r="P56" i="4"/>
  <c r="V56" i="4" s="1"/>
  <c r="T56" i="4"/>
  <c r="AF56" i="4"/>
  <c r="AL56" i="4" s="1"/>
  <c r="AJ56" i="4"/>
  <c r="O57" i="4"/>
  <c r="U57" i="4" s="1"/>
  <c r="S57" i="4"/>
  <c r="AE57" i="4"/>
  <c r="AK57" i="4" s="1"/>
  <c r="AI57" i="4"/>
  <c r="J59" i="4"/>
  <c r="P59" i="4"/>
  <c r="V59" i="4" s="1"/>
  <c r="Z59" i="4"/>
  <c r="AF59" i="4"/>
  <c r="I60" i="4"/>
  <c r="O60" i="4"/>
  <c r="U60" i="4" s="1"/>
  <c r="T60" i="4"/>
  <c r="Y60" i="4"/>
  <c r="AC60" i="4" s="1"/>
  <c r="AE60" i="4"/>
  <c r="AJ60" i="4"/>
  <c r="S61" i="4"/>
  <c r="AI61" i="4"/>
  <c r="I62" i="4"/>
  <c r="S62" i="4"/>
  <c r="Y62" i="4"/>
  <c r="AI62" i="4"/>
  <c r="P65" i="4"/>
  <c r="V65" i="4" s="1"/>
  <c r="AF65" i="4"/>
  <c r="AL65" i="4" s="1"/>
  <c r="T67" i="4"/>
  <c r="AO50" i="5"/>
  <c r="AO47" i="5"/>
  <c r="AO46" i="5"/>
  <c r="AQ42" i="5"/>
  <c r="AQ45" i="5"/>
  <c r="AO44" i="5"/>
  <c r="AB25" i="5"/>
  <c r="P68" i="4"/>
  <c r="V68" i="4" s="1"/>
  <c r="O67" i="4"/>
  <c r="U67" i="4" s="1"/>
  <c r="P66" i="4"/>
  <c r="V66" i="4" s="1"/>
  <c r="O63" i="4"/>
  <c r="U63" i="4" s="1"/>
  <c r="P62" i="4"/>
  <c r="V62" i="4" s="1"/>
  <c r="O59" i="4"/>
  <c r="U59" i="4" s="1"/>
  <c r="P58" i="4"/>
  <c r="V58" i="4" s="1"/>
  <c r="AV25" i="5"/>
  <c r="Y67" i="4"/>
  <c r="Z68" i="4"/>
  <c r="Y65" i="4"/>
  <c r="Z64" i="4"/>
  <c r="Y61" i="4"/>
  <c r="Z60" i="4"/>
  <c r="BP25" i="5"/>
  <c r="AJ68" i="4"/>
  <c r="AI67" i="4"/>
  <c r="AJ66" i="4"/>
  <c r="AI63" i="4"/>
  <c r="AJ62" i="4"/>
  <c r="AI59" i="4"/>
  <c r="AJ58" i="4"/>
  <c r="J16" i="4"/>
  <c r="Z16" i="4"/>
  <c r="J17" i="4"/>
  <c r="R29" i="5" s="1"/>
  <c r="Z17" i="4"/>
  <c r="AX29" i="5" s="1"/>
  <c r="J18" i="4"/>
  <c r="R30" i="5" s="1"/>
  <c r="Z18" i="4"/>
  <c r="J19" i="4"/>
  <c r="Z19" i="4"/>
  <c r="AX31" i="5" s="1"/>
  <c r="J20" i="4"/>
  <c r="Z20" i="4"/>
  <c r="J21" i="4"/>
  <c r="R33" i="5" s="1"/>
  <c r="Z21" i="4"/>
  <c r="AX33" i="5" s="1"/>
  <c r="J22" i="4"/>
  <c r="Z22" i="4"/>
  <c r="J23" i="4"/>
  <c r="R35" i="5" s="1"/>
  <c r="Z23" i="4"/>
  <c r="AX35" i="5" s="1"/>
  <c r="J24" i="4"/>
  <c r="Z24" i="4"/>
  <c r="AX36" i="5" s="1"/>
  <c r="J25" i="4"/>
  <c r="R37" i="5" s="1"/>
  <c r="Z25" i="4"/>
  <c r="AX37" i="5" s="1"/>
  <c r="J26" i="4"/>
  <c r="R38" i="5" s="1"/>
  <c r="Z26" i="4"/>
  <c r="AX38" i="5" s="1"/>
  <c r="J27" i="4"/>
  <c r="R39" i="5" s="1"/>
  <c r="Z27" i="4"/>
  <c r="AX39" i="5" s="1"/>
  <c r="J28" i="4"/>
  <c r="Z28" i="4"/>
  <c r="AX40" i="5" s="1"/>
  <c r="J29" i="4"/>
  <c r="R41" i="5" s="1"/>
  <c r="Z29" i="4"/>
  <c r="AX41" i="5" s="1"/>
  <c r="J30" i="4"/>
  <c r="Z30" i="4"/>
  <c r="AX42" i="5" s="1"/>
  <c r="J31" i="4"/>
  <c r="R43" i="5" s="1"/>
  <c r="Z31" i="4"/>
  <c r="AX43" i="5" s="1"/>
  <c r="J32" i="4"/>
  <c r="Z32" i="4"/>
  <c r="AX44" i="5" s="1"/>
  <c r="J33" i="4"/>
  <c r="R45" i="5" s="1"/>
  <c r="Z33" i="4"/>
  <c r="J34" i="4"/>
  <c r="Z34" i="4"/>
  <c r="J35" i="4"/>
  <c r="Z35" i="4"/>
  <c r="AX47" i="5" s="1"/>
  <c r="J38" i="4"/>
  <c r="R50" i="5" s="1"/>
  <c r="Z38" i="4"/>
  <c r="I44" i="4"/>
  <c r="Y44" i="4"/>
  <c r="P45" i="4"/>
  <c r="T45" i="4"/>
  <c r="AF45" i="4"/>
  <c r="AL45" i="4" s="1"/>
  <c r="AJ45" i="4"/>
  <c r="O46" i="4"/>
  <c r="S46" i="4"/>
  <c r="AE46" i="4"/>
  <c r="AI46" i="4"/>
  <c r="J47" i="4"/>
  <c r="Z47" i="4"/>
  <c r="I48" i="4"/>
  <c r="Y48" i="4"/>
  <c r="P49" i="4"/>
  <c r="T49" i="4"/>
  <c r="AF49" i="4"/>
  <c r="AJ49" i="4"/>
  <c r="O50" i="4"/>
  <c r="S50" i="4"/>
  <c r="AE50" i="4"/>
  <c r="AI50" i="4"/>
  <c r="J51" i="4"/>
  <c r="Z51" i="4"/>
  <c r="I52" i="4"/>
  <c r="Y52" i="4"/>
  <c r="AC52" i="4" s="1"/>
  <c r="P53" i="4"/>
  <c r="T53" i="4"/>
  <c r="AF53" i="4"/>
  <c r="AJ53" i="4"/>
  <c r="O54" i="4"/>
  <c r="S54" i="4"/>
  <c r="AE54" i="4"/>
  <c r="AI54" i="4"/>
  <c r="J55" i="4"/>
  <c r="Z55" i="4"/>
  <c r="I56" i="4"/>
  <c r="Y56" i="4"/>
  <c r="P57" i="4"/>
  <c r="T57" i="4"/>
  <c r="AF57" i="4"/>
  <c r="AJ57" i="4"/>
  <c r="P60" i="4"/>
  <c r="AF60" i="4"/>
  <c r="J61" i="4"/>
  <c r="O61" i="4"/>
  <c r="U61" i="4" s="1"/>
  <c r="T61" i="4"/>
  <c r="Z61" i="4"/>
  <c r="AE61" i="4"/>
  <c r="AJ61" i="4"/>
  <c r="J62" i="4"/>
  <c r="O62" i="4"/>
  <c r="U62" i="4" s="1"/>
  <c r="Z62" i="4"/>
  <c r="AE62" i="4"/>
  <c r="AK62" i="4" s="1"/>
  <c r="I63" i="4"/>
  <c r="T63" i="4"/>
  <c r="Y63" i="4"/>
  <c r="AC63" i="4"/>
  <c r="AJ63" i="4"/>
  <c r="S64" i="4"/>
  <c r="U64" i="4" s="1"/>
  <c r="AI64" i="4"/>
  <c r="AK64" i="4" s="1"/>
  <c r="O68" i="4"/>
  <c r="U68" i="4" s="1"/>
  <c r="AE68" i="4"/>
  <c r="AK68" i="4" s="1"/>
  <c r="AQ36" i="5"/>
  <c r="BW36" i="5"/>
  <c r="AQ29" i="5"/>
  <c r="AQ39" i="5"/>
  <c r="AQ43" i="5"/>
  <c r="AQ44" i="5"/>
  <c r="AQ40" i="5"/>
  <c r="AQ32" i="5"/>
  <c r="AQ37" i="5"/>
  <c r="AQ41" i="5"/>
  <c r="AQ47" i="5"/>
  <c r="AQ33" i="5"/>
  <c r="G36" i="4"/>
  <c r="BS48" i="5"/>
  <c r="BS52" i="5" s="1"/>
  <c r="AY48" i="5"/>
  <c r="AY52" i="5" s="1"/>
  <c r="AE48" i="5"/>
  <c r="AE52" i="5" s="1"/>
  <c r="AQ38" i="5"/>
  <c r="BW39" i="5"/>
  <c r="BW43" i="5"/>
  <c r="BW47" i="5"/>
  <c r="BW35" i="5"/>
  <c r="BW32" i="5"/>
  <c r="BW37" i="5"/>
  <c r="BW40" i="5"/>
  <c r="BW44" i="5"/>
  <c r="BU46" i="5"/>
  <c r="BW50" i="5"/>
  <c r="AM48" i="5"/>
  <c r="BW45" i="5"/>
  <c r="BW29" i="5"/>
  <c r="BW41" i="5"/>
  <c r="BW46" i="5"/>
  <c r="AQ46" i="5"/>
  <c r="BW31" i="5"/>
  <c r="BU47" i="5"/>
  <c r="AI48" i="5"/>
  <c r="AI52" i="5" s="1"/>
  <c r="M54" i="4"/>
  <c r="AA46" i="5"/>
  <c r="BE44" i="5"/>
  <c r="BG42" i="5"/>
  <c r="BE45" i="5"/>
  <c r="BG47" i="5"/>
  <c r="L46" i="5"/>
  <c r="L44" i="5"/>
  <c r="L40" i="5"/>
  <c r="AR36" i="5"/>
  <c r="BW30" i="5"/>
  <c r="BW34" i="5"/>
  <c r="BW38" i="5"/>
  <c r="BW42" i="5"/>
  <c r="BU50" i="5"/>
  <c r="S48" i="5"/>
  <c r="S52" i="5" s="1"/>
  <c r="AC45" i="4"/>
  <c r="BG32" i="5"/>
  <c r="BG37" i="5"/>
  <c r="BG39" i="5"/>
  <c r="BG43" i="5"/>
  <c r="BE46" i="5"/>
  <c r="BG50" i="5"/>
  <c r="L41" i="5"/>
  <c r="L36" i="5"/>
  <c r="L37" i="5"/>
  <c r="L35" i="5"/>
  <c r="M23" i="4"/>
  <c r="X35" i="5" s="1"/>
  <c r="L33" i="5"/>
  <c r="L31" i="5"/>
  <c r="L29" i="5"/>
  <c r="BG33" i="5"/>
  <c r="BG35" i="5"/>
  <c r="BG45" i="5"/>
  <c r="BG28" i="5"/>
  <c r="BG40" i="5"/>
  <c r="BG44" i="5"/>
  <c r="BE47" i="5"/>
  <c r="L42" i="5"/>
  <c r="L38" i="5"/>
  <c r="L47" i="5"/>
  <c r="L45" i="5"/>
  <c r="AA45" i="5"/>
  <c r="AA47" i="5"/>
  <c r="BG36" i="5"/>
  <c r="AC49" i="4"/>
  <c r="BG38" i="5"/>
  <c r="BG34" i="5"/>
  <c r="BG41" i="5"/>
  <c r="BG46" i="5"/>
  <c r="BE50" i="5"/>
  <c r="W48" i="5"/>
  <c r="W52" i="5" s="1"/>
  <c r="L43" i="5"/>
  <c r="L39" i="5"/>
  <c r="B13" i="4"/>
  <c r="Q48" i="5"/>
  <c r="Q52" i="5" s="1"/>
  <c r="B69" i="4"/>
  <c r="C77" i="5"/>
  <c r="C68" i="5"/>
  <c r="C80" i="5"/>
  <c r="C64" i="5"/>
  <c r="C60" i="5"/>
  <c r="C78" i="5"/>
  <c r="C72" i="5"/>
  <c r="C56" i="5"/>
  <c r="BU45" i="5" l="1"/>
  <c r="AG48" i="5"/>
  <c r="AG52" i="5" s="1"/>
  <c r="BA48" i="5"/>
  <c r="BA52" i="5" s="1"/>
  <c r="AO29" i="5"/>
  <c r="BE29" i="5"/>
  <c r="AO31" i="5"/>
  <c r="AO33" i="5"/>
  <c r="AO35" i="5"/>
  <c r="AO37" i="5"/>
  <c r="AO39" i="5"/>
  <c r="AO41" i="5"/>
  <c r="BE41" i="5"/>
  <c r="AO42" i="5"/>
  <c r="AO43" i="5"/>
  <c r="BE43" i="5"/>
  <c r="Y45" i="5"/>
  <c r="BW28" i="5"/>
  <c r="BG29" i="5"/>
  <c r="BG30" i="5"/>
  <c r="BG48" i="5" s="1"/>
  <c r="BG52" i="5" s="1"/>
  <c r="BE28" i="5"/>
  <c r="BU28" i="5"/>
  <c r="BU29" i="5"/>
  <c r="BE30" i="5"/>
  <c r="BU31" i="5"/>
  <c r="BE32" i="5"/>
  <c r="BU33" i="5"/>
  <c r="BE34" i="5"/>
  <c r="BU35" i="5"/>
  <c r="BE36" i="5"/>
  <c r="BU37" i="5"/>
  <c r="BE38" i="5"/>
  <c r="BU38" i="5"/>
  <c r="BU39" i="5"/>
  <c r="BE40" i="5"/>
  <c r="BU41" i="5"/>
  <c r="BE42" i="5"/>
  <c r="BU42" i="5"/>
  <c r="BU43" i="5"/>
  <c r="BI48" i="5"/>
  <c r="BI52" i="5" s="1"/>
  <c r="BU30" i="5"/>
  <c r="AO34" i="5"/>
  <c r="C102" i="5"/>
  <c r="AO40" i="5"/>
  <c r="AO45" i="5"/>
  <c r="BE31" i="5"/>
  <c r="BE37" i="5"/>
  <c r="Y41" i="5"/>
  <c r="AO38" i="5"/>
  <c r="BU32" i="5"/>
  <c r="BU40" i="5"/>
  <c r="AS48" i="5"/>
  <c r="AS52" i="5" s="1"/>
  <c r="BU44" i="5"/>
  <c r="BM48" i="5"/>
  <c r="BM52" i="5" s="1"/>
  <c r="BW48" i="5"/>
  <c r="BW52" i="5" s="1"/>
  <c r="BE33" i="5"/>
  <c r="BU34" i="5"/>
  <c r="BE35" i="5"/>
  <c r="BU36" i="5"/>
  <c r="BE39" i="5"/>
  <c r="BS86" i="5"/>
  <c r="AW48" i="5"/>
  <c r="AW52" i="5" s="1"/>
  <c r="BQ48" i="5"/>
  <c r="BQ52" i="5" s="1"/>
  <c r="AO30" i="5"/>
  <c r="AO32" i="5"/>
  <c r="AO36" i="5"/>
  <c r="AM52" i="5"/>
  <c r="BS85" i="5"/>
  <c r="BI85" i="5"/>
  <c r="BQ86" i="5"/>
  <c r="E48" i="5"/>
  <c r="E52" i="5" s="1"/>
  <c r="F47" i="5" s="1"/>
  <c r="M48" i="5"/>
  <c r="M52" i="5" s="1"/>
  <c r="AQ48" i="5"/>
  <c r="AQ50" i="5"/>
  <c r="AJ48" i="5"/>
  <c r="AJ52" i="5" s="1"/>
  <c r="F39" i="5"/>
  <c r="G56" i="5"/>
  <c r="AA48" i="5"/>
  <c r="AA52" i="5" s="1"/>
  <c r="AO28" i="5"/>
  <c r="AK48" i="5"/>
  <c r="AK52" i="5" s="1"/>
  <c r="G78" i="5"/>
  <c r="G62" i="5"/>
  <c r="I48" i="5"/>
  <c r="I52" i="5" s="1"/>
  <c r="J86" i="5" s="1"/>
  <c r="Y28" i="5"/>
  <c r="Y48" i="5" s="1"/>
  <c r="Y52" i="5" s="1"/>
  <c r="U48" i="5"/>
  <c r="U52" i="5" s="1"/>
  <c r="R59" i="5"/>
  <c r="S59" i="5"/>
  <c r="O48" i="5"/>
  <c r="O52" i="5" s="1"/>
  <c r="AC48" i="5"/>
  <c r="AC52" i="5" s="1"/>
  <c r="M85" i="5"/>
  <c r="U85" i="5"/>
  <c r="AG85" i="5"/>
  <c r="AS85" i="5"/>
  <c r="BA85" i="5"/>
  <c r="BM85" i="5"/>
  <c r="M86" i="5"/>
  <c r="U86" i="5"/>
  <c r="AG86" i="5"/>
  <c r="AS86" i="5"/>
  <c r="BA86" i="5"/>
  <c r="BM86" i="5"/>
  <c r="O85" i="5"/>
  <c r="W85" i="5"/>
  <c r="AI85" i="5"/>
  <c r="AU85" i="5"/>
  <c r="AU87" i="5" s="1"/>
  <c r="BC85" i="5"/>
  <c r="BO85" i="5"/>
  <c r="O86" i="5"/>
  <c r="W86" i="5"/>
  <c r="AI86" i="5"/>
  <c r="AU86" i="5"/>
  <c r="BC86" i="5"/>
  <c r="BO86" i="5"/>
  <c r="BO87" i="5" s="1"/>
  <c r="BI73" i="5"/>
  <c r="BJ73" i="5" s="1"/>
  <c r="Q85" i="5"/>
  <c r="AC85" i="5"/>
  <c r="AK85" i="5"/>
  <c r="AW85" i="5"/>
  <c r="BQ85" i="5"/>
  <c r="BQ87" i="5" s="1"/>
  <c r="Q86" i="5"/>
  <c r="Y86" i="5" s="1"/>
  <c r="AC86" i="5"/>
  <c r="AK86" i="5"/>
  <c r="AW86" i="5"/>
  <c r="BI86" i="5"/>
  <c r="BI87" i="5" s="1"/>
  <c r="S85" i="5"/>
  <c r="AE85" i="5"/>
  <c r="AM85" i="5"/>
  <c r="AY85" i="5"/>
  <c r="BK85" i="5"/>
  <c r="BW85" i="5" s="1"/>
  <c r="S86" i="5"/>
  <c r="AE86" i="5"/>
  <c r="AM86" i="5"/>
  <c r="AY86" i="5"/>
  <c r="BG86" i="5" s="1"/>
  <c r="BK86" i="5"/>
  <c r="H17" i="5"/>
  <c r="I17" i="5" s="1"/>
  <c r="AB85" i="5"/>
  <c r="B75" i="4"/>
  <c r="C87" i="5" s="1"/>
  <c r="I75" i="4"/>
  <c r="P87" i="5" s="1"/>
  <c r="Y75" i="4"/>
  <c r="AV87" i="5" s="1"/>
  <c r="H61" i="5"/>
  <c r="H70" i="5"/>
  <c r="H60" i="5"/>
  <c r="BL68" i="5"/>
  <c r="AV57" i="5"/>
  <c r="T73" i="5"/>
  <c r="BP61" i="5"/>
  <c r="AJ72" i="5"/>
  <c r="L64" i="5"/>
  <c r="BI69" i="5"/>
  <c r="BK69" i="5" s="1"/>
  <c r="M47" i="4"/>
  <c r="H76" i="5"/>
  <c r="H65" i="5"/>
  <c r="AV78" i="5"/>
  <c r="AB63" i="5"/>
  <c r="Q77" i="5"/>
  <c r="R77" i="5" s="1"/>
  <c r="H80" i="5"/>
  <c r="H74" i="5"/>
  <c r="H69" i="5"/>
  <c r="H64" i="5"/>
  <c r="H58" i="5"/>
  <c r="BP73" i="5"/>
  <c r="BH67" i="5"/>
  <c r="BP59" i="5"/>
  <c r="AV75" i="5"/>
  <c r="AV65" i="5"/>
  <c r="AB80" i="5"/>
  <c r="AB70" i="5"/>
  <c r="AF61" i="5"/>
  <c r="T80" i="5"/>
  <c r="L71" i="5"/>
  <c r="P60" i="5"/>
  <c r="Q63" i="5"/>
  <c r="BH79" i="5"/>
  <c r="BL72" i="5"/>
  <c r="BH65" i="5"/>
  <c r="BP57" i="5"/>
  <c r="AV73" i="5"/>
  <c r="AZ62" i="5"/>
  <c r="AF77" i="5"/>
  <c r="AF68" i="5"/>
  <c r="AJ58" i="5"/>
  <c r="L78" i="5"/>
  <c r="P68" i="5"/>
  <c r="T57" i="5"/>
  <c r="AK66" i="5"/>
  <c r="BI77" i="5"/>
  <c r="BJ77" i="5" s="1"/>
  <c r="H77" i="5"/>
  <c r="H72" i="5"/>
  <c r="H66" i="5"/>
  <c r="BK73" i="5"/>
  <c r="BP77" i="5"/>
  <c r="BL70" i="5"/>
  <c r="BH63" i="5"/>
  <c r="BL56" i="5"/>
  <c r="AV70" i="5"/>
  <c r="AV59" i="5"/>
  <c r="AF75" i="5"/>
  <c r="AJ65" i="5"/>
  <c r="AB56" i="5"/>
  <c r="P75" i="5"/>
  <c r="T66" i="5"/>
  <c r="U26" i="4"/>
  <c r="AN38" i="5" s="1"/>
  <c r="U24" i="4"/>
  <c r="AN36" i="5" s="1"/>
  <c r="AK18" i="4"/>
  <c r="BT30" i="5" s="1"/>
  <c r="AC65" i="4"/>
  <c r="AK33" i="4"/>
  <c r="BT45" i="5" s="1"/>
  <c r="AK30" i="4"/>
  <c r="BT42" i="5" s="1"/>
  <c r="M56" i="4"/>
  <c r="M48" i="4"/>
  <c r="E66" i="4"/>
  <c r="AC25" i="4"/>
  <c r="BD37" i="5" s="1"/>
  <c r="BT50" i="5"/>
  <c r="AC74" i="4"/>
  <c r="BD86" i="5" s="1"/>
  <c r="Y85" i="5"/>
  <c r="BL28" i="5"/>
  <c r="AC30" i="4"/>
  <c r="BD42" i="5" s="1"/>
  <c r="E85" i="5"/>
  <c r="F85" i="5" s="1"/>
  <c r="F87" i="5" s="1"/>
  <c r="M74" i="4"/>
  <c r="I87" i="5"/>
  <c r="M73" i="4"/>
  <c r="X85" i="5" s="1"/>
  <c r="AG75" i="4"/>
  <c r="BL87" i="5" s="1"/>
  <c r="U73" i="4"/>
  <c r="AN85" i="5" s="1"/>
  <c r="G75" i="4"/>
  <c r="L87" i="5" s="1"/>
  <c r="AC73" i="4"/>
  <c r="BD85" i="5" s="1"/>
  <c r="AR86" i="5"/>
  <c r="AK73" i="4"/>
  <c r="BT85" i="5" s="1"/>
  <c r="U74" i="4"/>
  <c r="AN86" i="5" s="1"/>
  <c r="AK74" i="4"/>
  <c r="BT86" i="5" s="1"/>
  <c r="Q75" i="4"/>
  <c r="AF87" i="5" s="1"/>
  <c r="E86" i="5"/>
  <c r="F86" i="5" s="1"/>
  <c r="U33" i="4"/>
  <c r="AN45" i="5" s="1"/>
  <c r="AK29" i="4"/>
  <c r="BT41" i="5" s="1"/>
  <c r="U30" i="4"/>
  <c r="AN42" i="5" s="1"/>
  <c r="M20" i="4"/>
  <c r="X32" i="5" s="1"/>
  <c r="U38" i="4"/>
  <c r="U22" i="4"/>
  <c r="AN34" i="5" s="1"/>
  <c r="AK25" i="4"/>
  <c r="BT37" i="5" s="1"/>
  <c r="M52" i="4"/>
  <c r="AD68" i="4"/>
  <c r="E68" i="4"/>
  <c r="E52" i="4"/>
  <c r="E64" i="4"/>
  <c r="E48" i="4"/>
  <c r="AD73" i="4"/>
  <c r="BF85" i="5" s="1"/>
  <c r="E50" i="4"/>
  <c r="AK38" i="4"/>
  <c r="AK32" i="4"/>
  <c r="BT44" i="5" s="1"/>
  <c r="AC23" i="4"/>
  <c r="BD35" i="5" s="1"/>
  <c r="AC48" i="4"/>
  <c r="AK34" i="4"/>
  <c r="BT46" i="5" s="1"/>
  <c r="AC59" i="4"/>
  <c r="U28" i="4"/>
  <c r="AN40" i="5" s="1"/>
  <c r="AK24" i="4"/>
  <c r="BT36" i="5" s="1"/>
  <c r="U27" i="4"/>
  <c r="AN39" i="5" s="1"/>
  <c r="M24" i="4"/>
  <c r="X36" i="5" s="1"/>
  <c r="AC22" i="4"/>
  <c r="BD34" i="5" s="1"/>
  <c r="AC28" i="4"/>
  <c r="BD40" i="5" s="1"/>
  <c r="AF33" i="5"/>
  <c r="AK26" i="4"/>
  <c r="BT38" i="5" s="1"/>
  <c r="S36" i="4"/>
  <c r="S40" i="4" s="1"/>
  <c r="U23" i="4"/>
  <c r="AN35" i="5" s="1"/>
  <c r="AK20" i="4"/>
  <c r="BT32" i="5" s="1"/>
  <c r="AE36" i="4"/>
  <c r="AE40" i="4" s="1"/>
  <c r="Z75" i="4"/>
  <c r="AX87" i="5" s="1"/>
  <c r="H75" i="4"/>
  <c r="N87" i="5" s="1"/>
  <c r="E58" i="4"/>
  <c r="E73" i="4"/>
  <c r="H85" i="5" s="1"/>
  <c r="N61" i="4"/>
  <c r="V74" i="4"/>
  <c r="AP86" i="5" s="1"/>
  <c r="AD55" i="4"/>
  <c r="E61" i="4"/>
  <c r="N74" i="4"/>
  <c r="Z86" i="5" s="1"/>
  <c r="AL63" i="4"/>
  <c r="V61" i="4"/>
  <c r="N47" i="4"/>
  <c r="N16" i="4"/>
  <c r="N57" i="4"/>
  <c r="E45" i="4"/>
  <c r="G85" i="5"/>
  <c r="N44" i="4"/>
  <c r="N69" i="4" s="1"/>
  <c r="X69" i="4"/>
  <c r="E51" i="4"/>
  <c r="V67" i="4"/>
  <c r="E57" i="4"/>
  <c r="D75" i="4"/>
  <c r="G87" i="5" s="1"/>
  <c r="AL61" i="4"/>
  <c r="E59" i="4"/>
  <c r="AD64" i="4"/>
  <c r="E63" i="4"/>
  <c r="AD74" i="4"/>
  <c r="BF86" i="5" s="1"/>
  <c r="AB75" i="4"/>
  <c r="BB87" i="5" s="1"/>
  <c r="X36" i="4"/>
  <c r="X40" i="4" s="1"/>
  <c r="D69" i="4"/>
  <c r="E67" i="4"/>
  <c r="P75" i="4"/>
  <c r="AD87" i="5" s="1"/>
  <c r="AL73" i="4"/>
  <c r="BV85" i="5" s="1"/>
  <c r="V73" i="4"/>
  <c r="AP85" i="5" s="1"/>
  <c r="D36" i="4"/>
  <c r="D40" i="4" s="1"/>
  <c r="E32" i="4" s="1"/>
  <c r="H44" i="5" s="1"/>
  <c r="E74" i="4"/>
  <c r="H86" i="5" s="1"/>
  <c r="L36" i="4"/>
  <c r="L40" i="4" s="1"/>
  <c r="V63" i="4"/>
  <c r="E55" i="4"/>
  <c r="E54" i="4"/>
  <c r="E53" i="4"/>
  <c r="E69" i="4"/>
  <c r="E56" i="4"/>
  <c r="E44" i="4"/>
  <c r="AL74" i="4"/>
  <c r="BV86" i="5" s="1"/>
  <c r="N73" i="4"/>
  <c r="Z85" i="5" s="1"/>
  <c r="AT29" i="5"/>
  <c r="BF29" i="5" s="1"/>
  <c r="AH36" i="4"/>
  <c r="AH40" i="4" s="1"/>
  <c r="E60" i="4"/>
  <c r="E47" i="4"/>
  <c r="E65" i="4"/>
  <c r="N59" i="4"/>
  <c r="E46" i="4"/>
  <c r="E49" i="4"/>
  <c r="E62" i="4"/>
  <c r="U32" i="4"/>
  <c r="AN44" i="5" s="1"/>
  <c r="AC16" i="4"/>
  <c r="BD28" i="5" s="1"/>
  <c r="B17" i="5"/>
  <c r="F19" i="5" s="1"/>
  <c r="U35" i="4"/>
  <c r="AN47" i="5" s="1"/>
  <c r="BL31" i="5"/>
  <c r="M26" i="4"/>
  <c r="X38" i="5" s="1"/>
  <c r="BF36" i="5"/>
  <c r="AA86" i="5"/>
  <c r="AK31" i="4"/>
  <c r="BT43" i="5" s="1"/>
  <c r="T28" i="5"/>
  <c r="AD62" i="4"/>
  <c r="N55" i="4"/>
  <c r="AD60" i="4"/>
  <c r="AN50" i="5"/>
  <c r="U51" i="4"/>
  <c r="M19" i="4"/>
  <c r="X31" i="5" s="1"/>
  <c r="N46" i="4"/>
  <c r="N31" i="4"/>
  <c r="H36" i="4"/>
  <c r="H40" i="4" s="1"/>
  <c r="N34" i="4"/>
  <c r="N22" i="4"/>
  <c r="M62" i="4"/>
  <c r="AD54" i="4"/>
  <c r="AD28" i="4"/>
  <c r="U31" i="4"/>
  <c r="AN43" i="5" s="1"/>
  <c r="R36" i="4"/>
  <c r="R40" i="4" s="1"/>
  <c r="AC26" i="4"/>
  <c r="BD38" i="5" s="1"/>
  <c r="N21" i="4"/>
  <c r="BF44" i="5"/>
  <c r="AF35" i="5"/>
  <c r="BF38" i="5"/>
  <c r="AD21" i="4"/>
  <c r="AC31" i="4"/>
  <c r="BD43" i="5" s="1"/>
  <c r="AC18" i="4"/>
  <c r="BD30" i="5" s="1"/>
  <c r="U34" i="4"/>
  <c r="AN46" i="5" s="1"/>
  <c r="AR33" i="5"/>
  <c r="AC19" i="4"/>
  <c r="BD31" i="5" s="1"/>
  <c r="AR38" i="5"/>
  <c r="AC27" i="4"/>
  <c r="BD39" i="5" s="1"/>
  <c r="BB48" i="5"/>
  <c r="BB52" i="5" s="1"/>
  <c r="N27" i="4"/>
  <c r="M31" i="4"/>
  <c r="X43" i="5" s="1"/>
  <c r="Z43" i="5"/>
  <c r="Z33" i="5"/>
  <c r="U54" i="4"/>
  <c r="V53" i="4"/>
  <c r="AC32" i="4"/>
  <c r="BD44" i="5" s="1"/>
  <c r="BV50" i="5"/>
  <c r="BV46" i="5"/>
  <c r="BH48" i="5"/>
  <c r="BH52" i="5" s="1"/>
  <c r="X75" i="4"/>
  <c r="AT87" i="5" s="1"/>
  <c r="V30" i="4"/>
  <c r="N23" i="4"/>
  <c r="AR39" i="5"/>
  <c r="BL29" i="5"/>
  <c r="BF47" i="5"/>
  <c r="AP44" i="5"/>
  <c r="AD38" i="4"/>
  <c r="AD34" i="4"/>
  <c r="AD24" i="4"/>
  <c r="AD22" i="4"/>
  <c r="AD18" i="4"/>
  <c r="AL62" i="4"/>
  <c r="AP47" i="5"/>
  <c r="P36" i="4"/>
  <c r="P40" i="4" s="1"/>
  <c r="Z35" i="5"/>
  <c r="BF37" i="5"/>
  <c r="T46" i="5"/>
  <c r="M34" i="4"/>
  <c r="X46" i="5" s="1"/>
  <c r="T37" i="5"/>
  <c r="M25" i="4"/>
  <c r="X37" i="5" s="1"/>
  <c r="AC34" i="4"/>
  <c r="BD46" i="5" s="1"/>
  <c r="M30" i="4"/>
  <c r="X42" i="5" s="1"/>
  <c r="BV36" i="5"/>
  <c r="AV44" i="5"/>
  <c r="AV48" i="5" s="1"/>
  <c r="AV52" i="5" s="1"/>
  <c r="T36" i="4"/>
  <c r="T40" i="4" s="1"/>
  <c r="T33" i="5"/>
  <c r="M21" i="4"/>
  <c r="X33" i="5" s="1"/>
  <c r="BL39" i="5"/>
  <c r="AK27" i="4"/>
  <c r="BT39" i="5" s="1"/>
  <c r="BL47" i="5"/>
  <c r="AK35" i="4"/>
  <c r="BT47" i="5" s="1"/>
  <c r="AD23" i="4"/>
  <c r="AT35" i="5"/>
  <c r="BF35" i="5" s="1"/>
  <c r="AD35" i="4"/>
  <c r="V41" i="5"/>
  <c r="Z41" i="5" s="1"/>
  <c r="N29" i="4"/>
  <c r="AC24" i="4"/>
  <c r="BD36" i="5" s="1"/>
  <c r="U19" i="4"/>
  <c r="AN31" i="5" s="1"/>
  <c r="BV30" i="5"/>
  <c r="BV38" i="5"/>
  <c r="M60" i="4"/>
  <c r="V33" i="4"/>
  <c r="V32" i="4"/>
  <c r="V29" i="4"/>
  <c r="AD41" i="5"/>
  <c r="AP41" i="5" s="1"/>
  <c r="V28" i="4"/>
  <c r="V27" i="4"/>
  <c r="V26" i="4"/>
  <c r="V25" i="4"/>
  <c r="V24" i="4"/>
  <c r="V23" i="4"/>
  <c r="V22" i="4"/>
  <c r="V21" i="4"/>
  <c r="AD33" i="5"/>
  <c r="AP33" i="5" s="1"/>
  <c r="V20" i="4"/>
  <c r="V19" i="4"/>
  <c r="V18" i="4"/>
  <c r="V17" i="4"/>
  <c r="V16" i="4"/>
  <c r="T29" i="5"/>
  <c r="M17" i="4"/>
  <c r="X29" i="5" s="1"/>
  <c r="BL40" i="5"/>
  <c r="AK28" i="4"/>
  <c r="BT40" i="5" s="1"/>
  <c r="BL34" i="5"/>
  <c r="AK22" i="4"/>
  <c r="BT34" i="5" s="1"/>
  <c r="BV32" i="5"/>
  <c r="G40" i="4"/>
  <c r="M32" i="4"/>
  <c r="X44" i="5" s="1"/>
  <c r="N67" i="4"/>
  <c r="AL33" i="4"/>
  <c r="AL32" i="4"/>
  <c r="AL31" i="4"/>
  <c r="AL30" i="4"/>
  <c r="AL29" i="4"/>
  <c r="BV29" i="5"/>
  <c r="AF36" i="4"/>
  <c r="AF40" i="4" s="1"/>
  <c r="AI36" i="4"/>
  <c r="AI40" i="4" s="1"/>
  <c r="AC29" i="4"/>
  <c r="BD41" i="5" s="1"/>
  <c r="N25" i="4"/>
  <c r="AJ75" i="4"/>
  <c r="BR87" i="5" s="1"/>
  <c r="AF75" i="4"/>
  <c r="BJ87" i="5" s="1"/>
  <c r="T75" i="4"/>
  <c r="AL87" i="5" s="1"/>
  <c r="K75" i="4"/>
  <c r="T87" i="5" s="1"/>
  <c r="AA85" i="5"/>
  <c r="G48" i="5"/>
  <c r="G52" i="5" s="1"/>
  <c r="AC38" i="4"/>
  <c r="BF39" i="5"/>
  <c r="AK23" i="4"/>
  <c r="BT35" i="5" s="1"/>
  <c r="AD28" i="5"/>
  <c r="AP28" i="5" s="1"/>
  <c r="AD30" i="5"/>
  <c r="AP30" i="5" s="1"/>
  <c r="AD32" i="5"/>
  <c r="AP32" i="5" s="1"/>
  <c r="AD34" i="5"/>
  <c r="AP34" i="5" s="1"/>
  <c r="AD36" i="5"/>
  <c r="AP36" i="5" s="1"/>
  <c r="AD38" i="5"/>
  <c r="AP38" i="5" s="1"/>
  <c r="AD40" i="5"/>
  <c r="AP40" i="5" s="1"/>
  <c r="V31" i="4"/>
  <c r="AD45" i="5"/>
  <c r="AP45" i="5" s="1"/>
  <c r="U25" i="4"/>
  <c r="AN37" i="5" s="1"/>
  <c r="BV34" i="5"/>
  <c r="AL68" i="4"/>
  <c r="AD29" i="4"/>
  <c r="M33" i="4"/>
  <c r="X45" i="5" s="1"/>
  <c r="AG36" i="4"/>
  <c r="AG40" i="4" s="1"/>
  <c r="AL34" i="4"/>
  <c r="AL38" i="4"/>
  <c r="M51" i="4"/>
  <c r="P47" i="5"/>
  <c r="P48" i="5" s="1"/>
  <c r="P52" i="5" s="1"/>
  <c r="W36" i="4"/>
  <c r="W40" i="4" s="1"/>
  <c r="Z29" i="5"/>
  <c r="BD50" i="5"/>
  <c r="N17" i="4"/>
  <c r="AD25" i="4"/>
  <c r="AX46" i="5"/>
  <c r="BF46" i="5" s="1"/>
  <c r="M27" i="4"/>
  <c r="X39" i="5" s="1"/>
  <c r="BF40" i="5"/>
  <c r="U29" i="4"/>
  <c r="AN41" i="5" s="1"/>
  <c r="M29" i="4"/>
  <c r="X41" i="5" s="1"/>
  <c r="M22" i="4"/>
  <c r="X34" i="5" s="1"/>
  <c r="I36" i="4"/>
  <c r="I40" i="4" s="1"/>
  <c r="BJ42" i="5"/>
  <c r="BV42" i="5" s="1"/>
  <c r="AL35" i="4"/>
  <c r="AD61" i="4"/>
  <c r="AC56" i="4"/>
  <c r="AK67" i="4"/>
  <c r="AD59" i="4"/>
  <c r="AD46" i="4"/>
  <c r="BV37" i="5"/>
  <c r="AL16" i="4"/>
  <c r="AC35" i="4"/>
  <c r="BD47" i="5" s="1"/>
  <c r="O36" i="4"/>
  <c r="O40" i="4" s="1"/>
  <c r="V50" i="4"/>
  <c r="BP48" i="5"/>
  <c r="BP52" i="5" s="1"/>
  <c r="W75" i="4"/>
  <c r="AR87" i="5" s="1"/>
  <c r="AP43" i="5"/>
  <c r="N33" i="4"/>
  <c r="AJ36" i="4"/>
  <c r="AJ40" i="4" s="1"/>
  <c r="AB36" i="4"/>
  <c r="AB40" i="4" s="1"/>
  <c r="AF29" i="5"/>
  <c r="AD32" i="4"/>
  <c r="N18" i="4"/>
  <c r="N37" i="5"/>
  <c r="Z37" i="5" s="1"/>
  <c r="AR41" i="5"/>
  <c r="AP29" i="5"/>
  <c r="AP31" i="5"/>
  <c r="AP37" i="5"/>
  <c r="AP39" i="5"/>
  <c r="AP50" i="5"/>
  <c r="M28" i="4"/>
  <c r="X40" i="5" s="1"/>
  <c r="K36" i="4"/>
  <c r="K40" i="4" s="1"/>
  <c r="X50" i="5"/>
  <c r="AK21" i="4"/>
  <c r="BT33" i="5" s="1"/>
  <c r="BJ41" i="5"/>
  <c r="BV41" i="5" s="1"/>
  <c r="BJ43" i="5"/>
  <c r="BJ45" i="5"/>
  <c r="BV45" i="5" s="1"/>
  <c r="M63" i="4"/>
  <c r="M44" i="4"/>
  <c r="M69" i="4" s="1"/>
  <c r="BV40" i="5"/>
  <c r="AA36" i="4"/>
  <c r="AA40" i="4" s="1"/>
  <c r="V35" i="4"/>
  <c r="AL18" i="4"/>
  <c r="AL20" i="4"/>
  <c r="AL22" i="4"/>
  <c r="AL24" i="4"/>
  <c r="AL26" i="4"/>
  <c r="AL28" i="4"/>
  <c r="Y36" i="4"/>
  <c r="Y40" i="4" s="1"/>
  <c r="AC20" i="4"/>
  <c r="BD32" i="5" s="1"/>
  <c r="Q36" i="4"/>
  <c r="Q40" i="4" s="1"/>
  <c r="AC33" i="4"/>
  <c r="BD45" i="5" s="1"/>
  <c r="AR29" i="5"/>
  <c r="V34" i="4"/>
  <c r="V38" i="4"/>
  <c r="AD26" i="4"/>
  <c r="M38" i="4"/>
  <c r="AL17" i="4"/>
  <c r="AL19" i="4"/>
  <c r="AL21" i="4"/>
  <c r="AL23" i="4"/>
  <c r="AL25" i="4"/>
  <c r="AL27" i="4"/>
  <c r="AL58" i="4"/>
  <c r="AL66" i="4"/>
  <c r="N54" i="4"/>
  <c r="M18" i="4"/>
  <c r="X30" i="5" s="1"/>
  <c r="AD31" i="4"/>
  <c r="R46" i="5"/>
  <c r="Z46" i="5" s="1"/>
  <c r="AD27" i="4"/>
  <c r="AD17" i="4"/>
  <c r="Z50" i="5"/>
  <c r="AK61" i="4"/>
  <c r="AL53" i="4"/>
  <c r="V45" i="4"/>
  <c r="R34" i="5"/>
  <c r="Z34" i="5" s="1"/>
  <c r="N26" i="4"/>
  <c r="AD19" i="4"/>
  <c r="BF33" i="5"/>
  <c r="N38" i="4"/>
  <c r="AL57" i="4"/>
  <c r="AX32" i="5"/>
  <c r="AD20" i="4"/>
  <c r="AX28" i="5"/>
  <c r="AD16" i="4"/>
  <c r="BF32" i="5"/>
  <c r="X86" i="5"/>
  <c r="Z45" i="5"/>
  <c r="U46" i="4"/>
  <c r="N32" i="4"/>
  <c r="R44" i="5"/>
  <c r="Z44" i="5" s="1"/>
  <c r="R42" i="5"/>
  <c r="Z42" i="5" s="1"/>
  <c r="N30" i="4"/>
  <c r="R40" i="5"/>
  <c r="Z40" i="5" s="1"/>
  <c r="N28" i="4"/>
  <c r="R36" i="5"/>
  <c r="Z36" i="5" s="1"/>
  <c r="N24" i="4"/>
  <c r="C29" i="4"/>
  <c r="D41" i="5" s="1"/>
  <c r="C27" i="4"/>
  <c r="D39" i="5" s="1"/>
  <c r="C30" i="4"/>
  <c r="D42" i="5" s="1"/>
  <c r="C64" i="4"/>
  <c r="D76" i="5" s="1"/>
  <c r="C31" i="4"/>
  <c r="D43" i="5" s="1"/>
  <c r="BV44" i="5"/>
  <c r="AX50" i="5"/>
  <c r="BF50" i="5" s="1"/>
  <c r="AD33" i="4"/>
  <c r="AX45" i="5"/>
  <c r="BF45" i="5" s="1"/>
  <c r="AX30" i="5"/>
  <c r="BF30" i="5" s="1"/>
  <c r="Z38" i="5"/>
  <c r="N35" i="4"/>
  <c r="R47" i="5"/>
  <c r="Z47" i="5" s="1"/>
  <c r="AH48" i="5"/>
  <c r="AH52" i="5" s="1"/>
  <c r="P69" i="4"/>
  <c r="AK54" i="4"/>
  <c r="V49" i="4"/>
  <c r="BI57" i="5"/>
  <c r="Q61" i="5"/>
  <c r="AK64" i="5"/>
  <c r="AM64" i="5" s="1"/>
  <c r="AK68" i="5"/>
  <c r="BI71" i="5"/>
  <c r="Q75" i="5"/>
  <c r="U79" i="5"/>
  <c r="AK78" i="5"/>
  <c r="AL78" i="5" s="1"/>
  <c r="BL80" i="5"/>
  <c r="BL76" i="5"/>
  <c r="BH73" i="5"/>
  <c r="BP69" i="5"/>
  <c r="BP65" i="5"/>
  <c r="BL62" i="5"/>
  <c r="BH59" i="5"/>
  <c r="AV79" i="5"/>
  <c r="AV74" i="5"/>
  <c r="AV69" i="5"/>
  <c r="AV63" i="5"/>
  <c r="AZ58" i="5"/>
  <c r="AB79" i="5"/>
  <c r="AJ73" i="5"/>
  <c r="AF69" i="5"/>
  <c r="AJ64" i="5"/>
  <c r="AF59" i="5"/>
  <c r="P77" i="5"/>
  <c r="L72" i="5"/>
  <c r="P67" i="5"/>
  <c r="T62" i="5"/>
  <c r="AK58" i="5"/>
  <c r="BI61" i="5"/>
  <c r="BI65" i="5"/>
  <c r="Q69" i="5"/>
  <c r="AK72" i="5"/>
  <c r="AM72" i="5" s="1"/>
  <c r="AK76" i="5"/>
  <c r="Q80" i="5"/>
  <c r="AL47" i="4"/>
  <c r="AD69" i="4"/>
  <c r="AZ48" i="5"/>
  <c r="AZ52" i="5" s="1"/>
  <c r="BV28" i="5"/>
  <c r="AK50" i="4"/>
  <c r="AK46" i="4"/>
  <c r="AL59" i="4"/>
  <c r="H79" i="5"/>
  <c r="H75" i="5"/>
  <c r="H71" i="5"/>
  <c r="H67" i="5"/>
  <c r="H63" i="5"/>
  <c r="H59" i="5"/>
  <c r="AI75" i="4"/>
  <c r="BP87" i="5" s="1"/>
  <c r="AE75" i="4"/>
  <c r="BH87" i="5" s="1"/>
  <c r="E81" i="5"/>
  <c r="BL78" i="5"/>
  <c r="BH75" i="5"/>
  <c r="BH71" i="5"/>
  <c r="BP67" i="5"/>
  <c r="BL64" i="5"/>
  <c r="BL60" i="5"/>
  <c r="BH57" i="5"/>
  <c r="AV77" i="5"/>
  <c r="AV71" i="5"/>
  <c r="AZ66" i="5"/>
  <c r="AV61" i="5"/>
  <c r="AJ80" i="5"/>
  <c r="AF76" i="5"/>
  <c r="AB72" i="5"/>
  <c r="AJ66" i="5"/>
  <c r="AB62" i="5"/>
  <c r="AJ57" i="5"/>
  <c r="L79" i="5"/>
  <c r="T74" i="5"/>
  <c r="L70" i="5"/>
  <c r="T64" i="5"/>
  <c r="L59" i="5"/>
  <c r="AK56" i="5"/>
  <c r="AL56" i="5" s="1"/>
  <c r="AK60" i="5"/>
  <c r="BI63" i="5"/>
  <c r="Q67" i="5"/>
  <c r="Q71" i="5"/>
  <c r="AK74" i="5"/>
  <c r="T69" i="4"/>
  <c r="S69" i="4"/>
  <c r="C81" i="5"/>
  <c r="AX34" i="5"/>
  <c r="BF34" i="5" s="1"/>
  <c r="Z36" i="4"/>
  <c r="Z40" i="4" s="1"/>
  <c r="AD30" i="4"/>
  <c r="C26" i="4"/>
  <c r="D38" i="5" s="1"/>
  <c r="C45" i="4"/>
  <c r="D57" i="5" s="1"/>
  <c r="C69" i="4"/>
  <c r="Z39" i="5"/>
  <c r="BF42" i="5"/>
  <c r="O69" i="4"/>
  <c r="J36" i="4"/>
  <c r="J40" i="4" s="1"/>
  <c r="R28" i="5"/>
  <c r="Z28" i="5" s="1"/>
  <c r="I69" i="4"/>
  <c r="M49" i="4"/>
  <c r="M66" i="4"/>
  <c r="AB48" i="5"/>
  <c r="AB52" i="5" s="1"/>
  <c r="AL64" i="5"/>
  <c r="AL48" i="5"/>
  <c r="AL52" i="5" s="1"/>
  <c r="BR48" i="5"/>
  <c r="BR52" i="5" s="1"/>
  <c r="AL49" i="4"/>
  <c r="AH75" i="4"/>
  <c r="BN87" i="5" s="1"/>
  <c r="BP79" i="5"/>
  <c r="BH77" i="5"/>
  <c r="BL74" i="5"/>
  <c r="BP71" i="5"/>
  <c r="BH69" i="5"/>
  <c r="BL66" i="5"/>
  <c r="BP63" i="5"/>
  <c r="BH61" i="5"/>
  <c r="BL58" i="5"/>
  <c r="AV80" i="5"/>
  <c r="AV76" i="5"/>
  <c r="AV72" i="5"/>
  <c r="AV68" i="5"/>
  <c r="AZ64" i="5"/>
  <c r="AZ60" i="5"/>
  <c r="AZ56" i="5"/>
  <c r="AB78" i="5"/>
  <c r="AJ74" i="5"/>
  <c r="AB71" i="5"/>
  <c r="AF67" i="5"/>
  <c r="AB64" i="5"/>
  <c r="AF60" i="5"/>
  <c r="AJ56" i="5"/>
  <c r="L80" i="5"/>
  <c r="P76" i="5"/>
  <c r="T72" i="5"/>
  <c r="P69" i="5"/>
  <c r="T65" i="5"/>
  <c r="P61" i="5"/>
  <c r="T56" i="5"/>
  <c r="Q57" i="5"/>
  <c r="BI59" i="5"/>
  <c r="AK62" i="5"/>
  <c r="Q65" i="5"/>
  <c r="BI67" i="5"/>
  <c r="AK70" i="5"/>
  <c r="Q73" i="5"/>
  <c r="BI75" i="5"/>
  <c r="V57" i="4"/>
  <c r="AJ69" i="4"/>
  <c r="N51" i="4"/>
  <c r="J69" i="4"/>
  <c r="AE69" i="4"/>
  <c r="U50" i="4"/>
  <c r="U69" i="4" s="1"/>
  <c r="C73" i="4"/>
  <c r="D85" i="5" s="1"/>
  <c r="C74" i="4"/>
  <c r="D86" i="5" s="1"/>
  <c r="C32" i="4"/>
  <c r="D44" i="5" s="1"/>
  <c r="C56" i="4"/>
  <c r="D68" i="5" s="1"/>
  <c r="C61" i="4"/>
  <c r="D73" i="5" s="1"/>
  <c r="BV35" i="5"/>
  <c r="AL60" i="4"/>
  <c r="AF69" i="4"/>
  <c r="L48" i="5"/>
  <c r="L52" i="5" s="1"/>
  <c r="BF31" i="5"/>
  <c r="BV31" i="5"/>
  <c r="BV33" i="5"/>
  <c r="BV39" i="5"/>
  <c r="BV47" i="5"/>
  <c r="R75" i="4"/>
  <c r="AH87" i="5" s="1"/>
  <c r="AH85" i="5"/>
  <c r="BF41" i="5"/>
  <c r="AP46" i="5"/>
  <c r="V60" i="4"/>
  <c r="AK60" i="4"/>
  <c r="AK69" i="4" s="1"/>
  <c r="AP35" i="5"/>
  <c r="S75" i="4"/>
  <c r="AJ87" i="5" s="1"/>
  <c r="AJ85" i="5"/>
  <c r="J75" i="4"/>
  <c r="R87" i="5" s="1"/>
  <c r="BA80" i="5"/>
  <c r="U80" i="5"/>
  <c r="BI79" i="5"/>
  <c r="AG79" i="5"/>
  <c r="BM78" i="5"/>
  <c r="AS78" i="5"/>
  <c r="U78" i="5"/>
  <c r="BM77" i="5"/>
  <c r="AS77" i="5"/>
  <c r="U77" i="5"/>
  <c r="BM76" i="5"/>
  <c r="AS76" i="5"/>
  <c r="U76" i="5"/>
  <c r="BM75" i="5"/>
  <c r="AS75" i="5"/>
  <c r="U75" i="5"/>
  <c r="BM74" i="5"/>
  <c r="AS74" i="5"/>
  <c r="U74" i="5"/>
  <c r="BM73" i="5"/>
  <c r="AS73" i="5"/>
  <c r="U73" i="5"/>
  <c r="BM72" i="5"/>
  <c r="AS72" i="5"/>
  <c r="U72" i="5"/>
  <c r="BM71" i="5"/>
  <c r="AS71" i="5"/>
  <c r="U71" i="5"/>
  <c r="BM70" i="5"/>
  <c r="AS70" i="5"/>
  <c r="U70" i="5"/>
  <c r="BM69" i="5"/>
  <c r="AS69" i="5"/>
  <c r="U69" i="5"/>
  <c r="BM68" i="5"/>
  <c r="AS68" i="5"/>
  <c r="U68" i="5"/>
  <c r="BM67" i="5"/>
  <c r="AS67" i="5"/>
  <c r="U67" i="5"/>
  <c r="BM66" i="5"/>
  <c r="AS66" i="5"/>
  <c r="U66" i="5"/>
  <c r="BM65" i="5"/>
  <c r="AS65" i="5"/>
  <c r="U65" i="5"/>
  <c r="BM64" i="5"/>
  <c r="AS64" i="5"/>
  <c r="U64" i="5"/>
  <c r="BM63" i="5"/>
  <c r="AS63" i="5"/>
  <c r="U63" i="5"/>
  <c r="BM62" i="5"/>
  <c r="AS62" i="5"/>
  <c r="U62" i="5"/>
  <c r="BM61" i="5"/>
  <c r="AS61" i="5"/>
  <c r="U61" i="5"/>
  <c r="BM60" i="5"/>
  <c r="AS60" i="5"/>
  <c r="U60" i="5"/>
  <c r="BM59" i="5"/>
  <c r="AS59" i="5"/>
  <c r="U59" i="5"/>
  <c r="BM58" i="5"/>
  <c r="AS58" i="5"/>
  <c r="U58" i="5"/>
  <c r="BM57" i="5"/>
  <c r="AS57" i="5"/>
  <c r="U57" i="5"/>
  <c r="BM56" i="5"/>
  <c r="AS56" i="5"/>
  <c r="U56" i="5"/>
  <c r="BM80" i="5"/>
  <c r="AK80" i="5"/>
  <c r="M80" i="5"/>
  <c r="AS79" i="5"/>
  <c r="Q79" i="5"/>
  <c r="BA78" i="5"/>
  <c r="AG78" i="5"/>
  <c r="M78" i="5"/>
  <c r="BA77" i="5"/>
  <c r="AG77" i="5"/>
  <c r="M77" i="5"/>
  <c r="BA76" i="5"/>
  <c r="AG76" i="5"/>
  <c r="M76" i="5"/>
  <c r="BA75" i="5"/>
  <c r="AG75" i="5"/>
  <c r="M75" i="5"/>
  <c r="BA74" i="5"/>
  <c r="AG74" i="5"/>
  <c r="M74" i="5"/>
  <c r="BA73" i="5"/>
  <c r="AG73" i="5"/>
  <c r="M73" i="5"/>
  <c r="BA72" i="5"/>
  <c r="AG72" i="5"/>
  <c r="M72" i="5"/>
  <c r="BA71" i="5"/>
  <c r="AG71" i="5"/>
  <c r="M71" i="5"/>
  <c r="BA70" i="5"/>
  <c r="AG70" i="5"/>
  <c r="M70" i="5"/>
  <c r="BA69" i="5"/>
  <c r="AG69" i="5"/>
  <c r="M69" i="5"/>
  <c r="BA68" i="5"/>
  <c r="AG68" i="5"/>
  <c r="M68" i="5"/>
  <c r="BA67" i="5"/>
  <c r="AG67" i="5"/>
  <c r="M67" i="5"/>
  <c r="BA66" i="5"/>
  <c r="AG66" i="5"/>
  <c r="M66" i="5"/>
  <c r="BA65" i="5"/>
  <c r="AG65" i="5"/>
  <c r="M65" i="5"/>
  <c r="BA64" i="5"/>
  <c r="AG64" i="5"/>
  <c r="M64" i="5"/>
  <c r="BA63" i="5"/>
  <c r="AG63" i="5"/>
  <c r="M63" i="5"/>
  <c r="BA62" i="5"/>
  <c r="AG62" i="5"/>
  <c r="M62" i="5"/>
  <c r="BA61" i="5"/>
  <c r="AG61" i="5"/>
  <c r="M61" i="5"/>
  <c r="BA60" i="5"/>
  <c r="AG60" i="5"/>
  <c r="M60" i="5"/>
  <c r="BA59" i="5"/>
  <c r="AG59" i="5"/>
  <c r="M59" i="5"/>
  <c r="BA58" i="5"/>
  <c r="AG58" i="5"/>
  <c r="M58" i="5"/>
  <c r="BA57" i="5"/>
  <c r="AG57" i="5"/>
  <c r="M57" i="5"/>
  <c r="BA56" i="5"/>
  <c r="AG56" i="5"/>
  <c r="M56" i="5"/>
  <c r="L57" i="5"/>
  <c r="P58" i="5"/>
  <c r="T59" i="5"/>
  <c r="L61" i="5"/>
  <c r="P62" i="5"/>
  <c r="T63" i="5"/>
  <c r="AG80" i="5"/>
  <c r="AK79" i="5"/>
  <c r="AW78" i="5"/>
  <c r="BQ77" i="5"/>
  <c r="AC77" i="5"/>
  <c r="AW76" i="5"/>
  <c r="BQ75" i="5"/>
  <c r="AC75" i="5"/>
  <c r="AW74" i="5"/>
  <c r="BQ73" i="5"/>
  <c r="AC73" i="5"/>
  <c r="AW72" i="5"/>
  <c r="BQ71" i="5"/>
  <c r="AC71" i="5"/>
  <c r="AW70" i="5"/>
  <c r="BQ69" i="5"/>
  <c r="AC69" i="5"/>
  <c r="AW68" i="5"/>
  <c r="BQ67" i="5"/>
  <c r="AC67" i="5"/>
  <c r="AW66" i="5"/>
  <c r="BQ65" i="5"/>
  <c r="AC65" i="5"/>
  <c r="AW64" i="5"/>
  <c r="BQ63" i="5"/>
  <c r="AC63" i="5"/>
  <c r="AW62" i="5"/>
  <c r="BQ61" i="5"/>
  <c r="AC61" i="5"/>
  <c r="AW60" i="5"/>
  <c r="BQ59" i="5"/>
  <c r="AC59" i="5"/>
  <c r="AW58" i="5"/>
  <c r="BQ57" i="5"/>
  <c r="AC57" i="5"/>
  <c r="AW56" i="5"/>
  <c r="P56" i="5"/>
  <c r="L58" i="5"/>
  <c r="L60" i="5"/>
  <c r="T61" i="5"/>
  <c r="P63" i="5"/>
  <c r="L65" i="5"/>
  <c r="P66" i="5"/>
  <c r="T67" i="5"/>
  <c r="L69" i="5"/>
  <c r="P70" i="5"/>
  <c r="T71" i="5"/>
  <c r="L73" i="5"/>
  <c r="P74" i="5"/>
  <c r="T75" i="5"/>
  <c r="L77" i="5"/>
  <c r="P78" i="5"/>
  <c r="T79" i="5"/>
  <c r="AB57" i="5"/>
  <c r="AF58" i="5"/>
  <c r="AJ59" i="5"/>
  <c r="AB61" i="5"/>
  <c r="AF62" i="5"/>
  <c r="AJ63" i="5"/>
  <c r="AB65" i="5"/>
  <c r="AF66" i="5"/>
  <c r="AJ67" i="5"/>
  <c r="AB69" i="5"/>
  <c r="AF70" i="5"/>
  <c r="AJ71" i="5"/>
  <c r="AB73" i="5"/>
  <c r="AF74" i="5"/>
  <c r="AJ75" i="5"/>
  <c r="AB77" i="5"/>
  <c r="AF78" i="5"/>
  <c r="AJ79" i="5"/>
  <c r="AR56" i="5"/>
  <c r="AR57" i="5"/>
  <c r="AR58" i="5"/>
  <c r="AR59" i="5"/>
  <c r="AR60" i="5"/>
  <c r="AR61" i="5"/>
  <c r="AR62" i="5"/>
  <c r="AR63" i="5"/>
  <c r="AR64" i="5"/>
  <c r="AR65" i="5"/>
  <c r="AR66" i="5"/>
  <c r="AR67" i="5"/>
  <c r="BI80" i="5"/>
  <c r="BM79" i="5"/>
  <c r="M79" i="5"/>
  <c r="AC78" i="5"/>
  <c r="AW77" i="5"/>
  <c r="BQ76" i="5"/>
  <c r="AC76" i="5"/>
  <c r="AW75" i="5"/>
  <c r="BQ74" i="5"/>
  <c r="AC74" i="5"/>
  <c r="AW73" i="5"/>
  <c r="BQ72" i="5"/>
  <c r="AC72" i="5"/>
  <c r="AW71" i="5"/>
  <c r="BQ70" i="5"/>
  <c r="AC70" i="5"/>
  <c r="AW69" i="5"/>
  <c r="BQ68" i="5"/>
  <c r="AC68" i="5"/>
  <c r="AW67" i="5"/>
  <c r="BQ66" i="5"/>
  <c r="AC66" i="5"/>
  <c r="AW65" i="5"/>
  <c r="BQ64" i="5"/>
  <c r="AC64" i="5"/>
  <c r="AW63" i="5"/>
  <c r="BQ62" i="5"/>
  <c r="AC62" i="5"/>
  <c r="AW61" i="5"/>
  <c r="BQ60" i="5"/>
  <c r="AC60" i="5"/>
  <c r="AW59" i="5"/>
  <c r="BQ58" i="5"/>
  <c r="AC58" i="5"/>
  <c r="AW57" i="5"/>
  <c r="BQ56" i="5"/>
  <c r="AC56" i="5"/>
  <c r="BA79" i="5"/>
  <c r="Q78" i="5"/>
  <c r="BI76" i="5"/>
  <c r="AK75" i="5"/>
  <c r="Q74" i="5"/>
  <c r="BI72" i="5"/>
  <c r="AK71" i="5"/>
  <c r="Q70" i="5"/>
  <c r="BI68" i="5"/>
  <c r="AK67" i="5"/>
  <c r="Q66" i="5"/>
  <c r="BI64" i="5"/>
  <c r="AK63" i="5"/>
  <c r="Q62" i="5"/>
  <c r="BI60" i="5"/>
  <c r="AK59" i="5"/>
  <c r="Q58" i="5"/>
  <c r="BI56" i="5"/>
  <c r="L56" i="5"/>
  <c r="T58" i="5"/>
  <c r="T60" i="5"/>
  <c r="L63" i="5"/>
  <c r="P65" i="5"/>
  <c r="L67" i="5"/>
  <c r="T68" i="5"/>
  <c r="T70" i="5"/>
  <c r="P72" i="5"/>
  <c r="L74" i="5"/>
  <c r="L76" i="5"/>
  <c r="T77" i="5"/>
  <c r="P79" i="5"/>
  <c r="AF57" i="5"/>
  <c r="AB59" i="5"/>
  <c r="AJ60" i="5"/>
  <c r="AJ62" i="5"/>
  <c r="AF64" i="5"/>
  <c r="AB66" i="5"/>
  <c r="AB68" i="5"/>
  <c r="AJ69" i="5"/>
  <c r="AF71" i="5"/>
  <c r="AF73" i="5"/>
  <c r="AB75" i="5"/>
  <c r="AJ76" i="5"/>
  <c r="AJ78" i="5"/>
  <c r="AF80" i="5"/>
  <c r="AV58" i="5"/>
  <c r="AZ59" i="5"/>
  <c r="AV62" i="5"/>
  <c r="AZ63" i="5"/>
  <c r="AV66" i="5"/>
  <c r="AZ67" i="5"/>
  <c r="AZ68" i="5"/>
  <c r="AZ69" i="5"/>
  <c r="AZ70" i="5"/>
  <c r="AZ71" i="5"/>
  <c r="AZ72" i="5"/>
  <c r="AZ73" i="5"/>
  <c r="AZ74" i="5"/>
  <c r="AZ75" i="5"/>
  <c r="AZ76" i="5"/>
  <c r="AZ77" i="5"/>
  <c r="AZ78" i="5"/>
  <c r="AZ79" i="5"/>
  <c r="AZ80" i="5"/>
  <c r="BP56" i="5"/>
  <c r="BH58" i="5"/>
  <c r="BL59" i="5"/>
  <c r="BP60" i="5"/>
  <c r="BH62" i="5"/>
  <c r="BL63" i="5"/>
  <c r="BP64" i="5"/>
  <c r="BH66" i="5"/>
  <c r="BL67" i="5"/>
  <c r="BP68" i="5"/>
  <c r="BH70" i="5"/>
  <c r="BL71" i="5"/>
  <c r="BP72" i="5"/>
  <c r="BH74" i="5"/>
  <c r="BL75" i="5"/>
  <c r="BP76" i="5"/>
  <c r="BH78" i="5"/>
  <c r="BL79" i="5"/>
  <c r="BP80" i="5"/>
  <c r="AS80" i="5"/>
  <c r="BI78" i="5"/>
  <c r="AK77" i="5"/>
  <c r="Q76" i="5"/>
  <c r="BI74" i="5"/>
  <c r="AK73" i="5"/>
  <c r="Q72" i="5"/>
  <c r="BI70" i="5"/>
  <c r="AK69" i="5"/>
  <c r="Q68" i="5"/>
  <c r="BI66" i="5"/>
  <c r="AK65" i="5"/>
  <c r="Q64" i="5"/>
  <c r="BI62" i="5"/>
  <c r="AK61" i="5"/>
  <c r="Q60" i="5"/>
  <c r="BI58" i="5"/>
  <c r="AK57" i="5"/>
  <c r="Q56" i="5"/>
  <c r="P57" i="5"/>
  <c r="P59" i="5"/>
  <c r="L62" i="5"/>
  <c r="P64" i="5"/>
  <c r="L66" i="5"/>
  <c r="L68" i="5"/>
  <c r="T69" i="5"/>
  <c r="P71" i="5"/>
  <c r="P73" i="5"/>
  <c r="L75" i="5"/>
  <c r="T76" i="5"/>
  <c r="T78" i="5"/>
  <c r="P80" i="5"/>
  <c r="AF56" i="5"/>
  <c r="AB58" i="5"/>
  <c r="AB60" i="5"/>
  <c r="AJ61" i="5"/>
  <c r="AF63" i="5"/>
  <c r="AF65" i="5"/>
  <c r="AB67" i="5"/>
  <c r="AJ68" i="5"/>
  <c r="AJ70" i="5"/>
  <c r="AF72" i="5"/>
  <c r="AB74" i="5"/>
  <c r="AB76" i="5"/>
  <c r="AJ77" i="5"/>
  <c r="AF79" i="5"/>
  <c r="AV56" i="5"/>
  <c r="AZ57" i="5"/>
  <c r="AV60" i="5"/>
  <c r="AZ61" i="5"/>
  <c r="AV64" i="5"/>
  <c r="AZ65" i="5"/>
  <c r="AR68" i="5"/>
  <c r="AR69" i="5"/>
  <c r="AR70" i="5"/>
  <c r="AR71" i="5"/>
  <c r="AR72" i="5"/>
  <c r="AR73" i="5"/>
  <c r="BD73" i="5" s="1"/>
  <c r="AR74" i="5"/>
  <c r="AR75" i="5"/>
  <c r="AR76" i="5"/>
  <c r="AR77" i="5"/>
  <c r="AR78" i="5"/>
  <c r="AR79" i="5"/>
  <c r="AR80" i="5"/>
  <c r="BH56" i="5"/>
  <c r="BL57" i="5"/>
  <c r="BP58" i="5"/>
  <c r="BH60" i="5"/>
  <c r="BL61" i="5"/>
  <c r="BP62" i="5"/>
  <c r="BH64" i="5"/>
  <c r="BL65" i="5"/>
  <c r="BP66" i="5"/>
  <c r="BH68" i="5"/>
  <c r="BL69" i="5"/>
  <c r="BP70" i="5"/>
  <c r="BH72" i="5"/>
  <c r="BL73" i="5"/>
  <c r="BP74" i="5"/>
  <c r="BH76" i="5"/>
  <c r="BL77" i="5"/>
  <c r="BP78" i="5"/>
  <c r="BH80" i="5"/>
  <c r="H56" i="5"/>
  <c r="L75" i="4"/>
  <c r="V87" i="5" s="1"/>
  <c r="AA75" i="4"/>
  <c r="AZ87" i="5" s="1"/>
  <c r="F81" i="5"/>
  <c r="G81" i="5" s="1"/>
  <c r="BQ80" i="5"/>
  <c r="V69" i="4"/>
  <c r="AP42" i="5"/>
  <c r="AL69" i="4"/>
  <c r="BN48" i="5"/>
  <c r="BN52" i="5" s="1"/>
  <c r="C20" i="4"/>
  <c r="D32" i="5" s="1"/>
  <c r="C67" i="4"/>
  <c r="D79" i="5" s="1"/>
  <c r="C48" i="4"/>
  <c r="D60" i="5" s="1"/>
  <c r="C68" i="4"/>
  <c r="D80" i="5" s="1"/>
  <c r="Z69" i="4"/>
  <c r="C35" i="4"/>
  <c r="D47" i="5" s="1"/>
  <c r="C19" i="4"/>
  <c r="D31" i="5" s="1"/>
  <c r="C33" i="4"/>
  <c r="D45" i="5" s="1"/>
  <c r="C62" i="4"/>
  <c r="D74" i="5" s="1"/>
  <c r="C52" i="4"/>
  <c r="D64" i="5" s="1"/>
  <c r="C66" i="4"/>
  <c r="D78" i="5" s="1"/>
  <c r="C47" i="4"/>
  <c r="D59" i="5" s="1"/>
  <c r="C51" i="4"/>
  <c r="D63" i="5" s="1"/>
  <c r="C55" i="4"/>
  <c r="D67" i="5" s="1"/>
  <c r="C59" i="4"/>
  <c r="D71" i="5" s="1"/>
  <c r="C63" i="4"/>
  <c r="D75" i="5" s="1"/>
  <c r="C54" i="4"/>
  <c r="D66" i="5" s="1"/>
  <c r="C44" i="4"/>
  <c r="D56" i="5" s="1"/>
  <c r="C58" i="4"/>
  <c r="D70" i="5" s="1"/>
  <c r="C17" i="4"/>
  <c r="D29" i="5" s="1"/>
  <c r="C24" i="4"/>
  <c r="D36" i="5" s="1"/>
  <c r="C16" i="4"/>
  <c r="C65" i="4"/>
  <c r="D77" i="5" s="1"/>
  <c r="C25" i="4"/>
  <c r="D37" i="5" s="1"/>
  <c r="C60" i="4"/>
  <c r="D72" i="5" s="1"/>
  <c r="C53" i="4"/>
  <c r="D65" i="5" s="1"/>
  <c r="C46" i="4"/>
  <c r="D58" i="5" s="1"/>
  <c r="C23" i="4"/>
  <c r="D35" i="5" s="1"/>
  <c r="C18" i="4"/>
  <c r="D30" i="5" s="1"/>
  <c r="C57" i="4"/>
  <c r="D69" i="5" s="1"/>
  <c r="C28" i="4"/>
  <c r="D40" i="5" s="1"/>
  <c r="C34" i="4"/>
  <c r="D46" i="5" s="1"/>
  <c r="C50" i="4"/>
  <c r="D62" i="5" s="1"/>
  <c r="C49" i="4"/>
  <c r="D61" i="5" s="1"/>
  <c r="C21" i="4"/>
  <c r="D33" i="5" s="1"/>
  <c r="C38" i="4"/>
  <c r="D50" i="5" s="1"/>
  <c r="C22" i="4"/>
  <c r="D34" i="5" s="1"/>
  <c r="Z30" i="5"/>
  <c r="AI69" i="4"/>
  <c r="BF43" i="5"/>
  <c r="Y69" i="4"/>
  <c r="AC44" i="4"/>
  <c r="AC69" i="4" s="1"/>
  <c r="N19" i="4"/>
  <c r="R31" i="5"/>
  <c r="Z31" i="5" s="1"/>
  <c r="N20" i="4"/>
  <c r="R32" i="5"/>
  <c r="Z32" i="5" s="1"/>
  <c r="C48" i="5"/>
  <c r="C52" i="5" s="1"/>
  <c r="BQ78" i="5"/>
  <c r="AC79" i="5"/>
  <c r="AW79" i="5"/>
  <c r="BQ79" i="5"/>
  <c r="AC80" i="5"/>
  <c r="AW80" i="5"/>
  <c r="AO85" i="5" l="1"/>
  <c r="AF48" i="5"/>
  <c r="AF52" i="5" s="1"/>
  <c r="BD78" i="5"/>
  <c r="BT63" i="5"/>
  <c r="AI87" i="5"/>
  <c r="BE85" i="5"/>
  <c r="AQ52" i="5"/>
  <c r="AO48" i="5"/>
  <c r="AO52" i="5" s="1"/>
  <c r="AY87" i="5"/>
  <c r="BE86" i="5"/>
  <c r="BS87" i="5"/>
  <c r="BW86" i="5"/>
  <c r="AQ86" i="5"/>
  <c r="BU86" i="5"/>
  <c r="BT68" i="5"/>
  <c r="BD70" i="5"/>
  <c r="Y62" i="5"/>
  <c r="AA62" i="5" s="1"/>
  <c r="Y78" i="5"/>
  <c r="BE48" i="5"/>
  <c r="BE52" i="5" s="1"/>
  <c r="J85" i="5"/>
  <c r="J87" i="5" s="1"/>
  <c r="BU48" i="5"/>
  <c r="BU52" i="5" s="1"/>
  <c r="Y76" i="5"/>
  <c r="Y80" i="5"/>
  <c r="AA80" i="5" s="1"/>
  <c r="Y60" i="5"/>
  <c r="Z60" i="5" s="1"/>
  <c r="BT72" i="5"/>
  <c r="BJ69" i="5"/>
  <c r="BK77" i="5"/>
  <c r="BU85" i="5"/>
  <c r="BK87" i="5"/>
  <c r="S87" i="5"/>
  <c r="Y64" i="5"/>
  <c r="AA64" i="5" s="1"/>
  <c r="Y68" i="5"/>
  <c r="Z68" i="5" s="1"/>
  <c r="Y66" i="5"/>
  <c r="Z66" i="5" s="1"/>
  <c r="Y70" i="5"/>
  <c r="AA70" i="5" s="1"/>
  <c r="AK87" i="5"/>
  <c r="AS87" i="5"/>
  <c r="J43" i="5"/>
  <c r="F36" i="5"/>
  <c r="G75" i="5"/>
  <c r="G63" i="5"/>
  <c r="G77" i="5"/>
  <c r="G71" i="5"/>
  <c r="F46" i="5"/>
  <c r="F38" i="5"/>
  <c r="F42" i="5"/>
  <c r="F34" i="5"/>
  <c r="F30" i="5"/>
  <c r="G60" i="5"/>
  <c r="G64" i="5"/>
  <c r="G73" i="5"/>
  <c r="G61" i="5"/>
  <c r="G80" i="5"/>
  <c r="G68" i="5"/>
  <c r="F44" i="5"/>
  <c r="F43" i="5"/>
  <c r="G76" i="5"/>
  <c r="G67" i="5"/>
  <c r="G59" i="5"/>
  <c r="F40" i="5"/>
  <c r="G79" i="5"/>
  <c r="G57" i="5"/>
  <c r="F32" i="5"/>
  <c r="F31" i="5"/>
  <c r="F50" i="5"/>
  <c r="F33" i="5"/>
  <c r="AC87" i="5"/>
  <c r="AG87" i="5"/>
  <c r="J35" i="5"/>
  <c r="J29" i="5"/>
  <c r="J47" i="5"/>
  <c r="J33" i="5"/>
  <c r="J50" i="5"/>
  <c r="J45" i="5"/>
  <c r="J41" i="5"/>
  <c r="J42" i="5"/>
  <c r="J37" i="5"/>
  <c r="J30" i="5"/>
  <c r="J46" i="5"/>
  <c r="J39" i="5"/>
  <c r="J40" i="5"/>
  <c r="J31" i="5"/>
  <c r="J32" i="5"/>
  <c r="J28" i="5"/>
  <c r="J48" i="5" s="1"/>
  <c r="G65" i="5"/>
  <c r="G58" i="5"/>
  <c r="F37" i="5"/>
  <c r="Q87" i="5"/>
  <c r="W87" i="5"/>
  <c r="BM87" i="5"/>
  <c r="BU87" i="5" s="1"/>
  <c r="U87" i="5"/>
  <c r="J36" i="5"/>
  <c r="G72" i="5"/>
  <c r="J34" i="5"/>
  <c r="G70" i="5"/>
  <c r="G69" i="5"/>
  <c r="G66" i="5"/>
  <c r="F41" i="5"/>
  <c r="AM56" i="5"/>
  <c r="AM78" i="5"/>
  <c r="BG85" i="5"/>
  <c r="AM87" i="5"/>
  <c r="BD75" i="5"/>
  <c r="X57" i="5"/>
  <c r="AQ85" i="5"/>
  <c r="AW87" i="5"/>
  <c r="S77" i="5"/>
  <c r="AE87" i="5"/>
  <c r="BC87" i="5"/>
  <c r="O87" i="5"/>
  <c r="AO86" i="5"/>
  <c r="BA87" i="5"/>
  <c r="M87" i="5"/>
  <c r="J44" i="5"/>
  <c r="F35" i="5"/>
  <c r="J38" i="5"/>
  <c r="F29" i="5"/>
  <c r="F28" i="5"/>
  <c r="F48" i="5" s="1"/>
  <c r="G74" i="5"/>
  <c r="F45" i="5"/>
  <c r="Y56" i="5"/>
  <c r="AA56" i="5" s="1"/>
  <c r="Y72" i="5"/>
  <c r="AA72" i="5" s="1"/>
  <c r="Y58" i="5"/>
  <c r="Z58" i="5" s="1"/>
  <c r="Y74" i="5"/>
  <c r="AA74" i="5" s="1"/>
  <c r="AM66" i="5"/>
  <c r="AL66" i="5"/>
  <c r="S63" i="5"/>
  <c r="R63" i="5"/>
  <c r="M75" i="4"/>
  <c r="X87" i="5" s="1"/>
  <c r="BT80" i="5"/>
  <c r="AC75" i="4"/>
  <c r="BD87" i="5" s="1"/>
  <c r="X80" i="5"/>
  <c r="AK75" i="4"/>
  <c r="BT87" i="5" s="1"/>
  <c r="U75" i="4"/>
  <c r="AN87" i="5" s="1"/>
  <c r="E87" i="5"/>
  <c r="BT70" i="5"/>
  <c r="BT65" i="5"/>
  <c r="BD76" i="5"/>
  <c r="BD72" i="5"/>
  <c r="AN63" i="5"/>
  <c r="AN56" i="5"/>
  <c r="X67" i="5"/>
  <c r="BT60" i="5"/>
  <c r="X59" i="5"/>
  <c r="AN71" i="5"/>
  <c r="BT73" i="5"/>
  <c r="BD80" i="5"/>
  <c r="X68" i="5"/>
  <c r="BT75" i="5"/>
  <c r="BT59" i="5"/>
  <c r="AN58" i="5"/>
  <c r="BD74" i="5"/>
  <c r="AN67" i="5"/>
  <c r="X71" i="5"/>
  <c r="BT61" i="5"/>
  <c r="BD77" i="5"/>
  <c r="AN79" i="5"/>
  <c r="BT67" i="5"/>
  <c r="AN80" i="5"/>
  <c r="AN66" i="5"/>
  <c r="BD79" i="5"/>
  <c r="BT62" i="5"/>
  <c r="BD71" i="5"/>
  <c r="AN76" i="5"/>
  <c r="BT64" i="5"/>
  <c r="X64" i="5"/>
  <c r="BT79" i="5"/>
  <c r="AN48" i="5"/>
  <c r="AN52" i="5" s="1"/>
  <c r="BT66" i="5"/>
  <c r="AN70" i="5"/>
  <c r="AN59" i="5"/>
  <c r="BT77" i="5"/>
  <c r="AN72" i="5"/>
  <c r="X72" i="5"/>
  <c r="AN74" i="5"/>
  <c r="AN60" i="5"/>
  <c r="AN75" i="5"/>
  <c r="AR48" i="5"/>
  <c r="AR52" i="5" s="1"/>
  <c r="V48" i="5"/>
  <c r="V52" i="5" s="1"/>
  <c r="BT48" i="5"/>
  <c r="BT52" i="5" s="1"/>
  <c r="T48" i="5"/>
  <c r="T52" i="5" s="1"/>
  <c r="E75" i="4"/>
  <c r="H87" i="5" s="1"/>
  <c r="N75" i="4"/>
  <c r="Z87" i="5" s="1"/>
  <c r="E27" i="4"/>
  <c r="H39" i="5" s="1"/>
  <c r="AL75" i="4"/>
  <c r="BV87" i="5" s="1"/>
  <c r="E16" i="4"/>
  <c r="H28" i="5" s="1"/>
  <c r="V75" i="4"/>
  <c r="AP87" i="5" s="1"/>
  <c r="E19" i="4"/>
  <c r="H31" i="5" s="1"/>
  <c r="AT48" i="5"/>
  <c r="AT52" i="5" s="1"/>
  <c r="E20" i="4"/>
  <c r="H32" i="5" s="1"/>
  <c r="AD75" i="4"/>
  <c r="BF87" i="5" s="1"/>
  <c r="E24" i="4"/>
  <c r="H36" i="5" s="1"/>
  <c r="E23" i="4"/>
  <c r="H35" i="5" s="1"/>
  <c r="E31" i="4"/>
  <c r="H43" i="5" s="1"/>
  <c r="E22" i="4"/>
  <c r="H34" i="5" s="1"/>
  <c r="E25" i="4"/>
  <c r="H37" i="5" s="1"/>
  <c r="E34" i="4"/>
  <c r="H46" i="5" s="1"/>
  <c r="E28" i="4"/>
  <c r="H40" i="5" s="1"/>
  <c r="E26" i="4"/>
  <c r="H38" i="5" s="1"/>
  <c r="E18" i="4"/>
  <c r="H30" i="5" s="1"/>
  <c r="E38" i="4"/>
  <c r="H50" i="5" s="1"/>
  <c r="E17" i="4"/>
  <c r="H29" i="5" s="1"/>
  <c r="E33" i="4"/>
  <c r="H45" i="5" s="1"/>
  <c r="E29" i="4"/>
  <c r="H41" i="5" s="1"/>
  <c r="E35" i="4"/>
  <c r="H47" i="5" s="1"/>
  <c r="E21" i="4"/>
  <c r="H33" i="5" s="1"/>
  <c r="E30" i="4"/>
  <c r="H42" i="5" s="1"/>
  <c r="C75" i="4"/>
  <c r="D87" i="5" s="1"/>
  <c r="BL48" i="5"/>
  <c r="BL52" i="5" s="1"/>
  <c r="AD48" i="5"/>
  <c r="AD52" i="5" s="1"/>
  <c r="AX48" i="5"/>
  <c r="AX52" i="5" s="1"/>
  <c r="M36" i="4"/>
  <c r="M40" i="4" s="1"/>
  <c r="N48" i="5"/>
  <c r="N52" i="5" s="1"/>
  <c r="U36" i="4"/>
  <c r="U40" i="4" s="1"/>
  <c r="X48" i="5"/>
  <c r="X52" i="5" s="1"/>
  <c r="V36" i="4"/>
  <c r="V40" i="4" s="1"/>
  <c r="BD48" i="5"/>
  <c r="BD52" i="5" s="1"/>
  <c r="BJ48" i="5"/>
  <c r="BJ52" i="5" s="1"/>
  <c r="AK36" i="4"/>
  <c r="AK40" i="4" s="1"/>
  <c r="BF28" i="5"/>
  <c r="BF48" i="5" s="1"/>
  <c r="BF52" i="5" s="1"/>
  <c r="BT74" i="5"/>
  <c r="BT58" i="5"/>
  <c r="AN62" i="5"/>
  <c r="BT71" i="5"/>
  <c r="BT78" i="5"/>
  <c r="AN78" i="5"/>
  <c r="AD36" i="4"/>
  <c r="AD40" i="4" s="1"/>
  <c r="AL36" i="4"/>
  <c r="AL40" i="4" s="1"/>
  <c r="BD69" i="5"/>
  <c r="AC36" i="4"/>
  <c r="AC40" i="4" s="1"/>
  <c r="H81" i="5"/>
  <c r="BD68" i="5"/>
  <c r="X75" i="5"/>
  <c r="AP48" i="5"/>
  <c r="AP52" i="5" s="1"/>
  <c r="BT69" i="5"/>
  <c r="X73" i="5"/>
  <c r="X79" i="5"/>
  <c r="X65" i="5"/>
  <c r="BV43" i="5"/>
  <c r="BV48" i="5" s="1"/>
  <c r="BV52" i="5" s="1"/>
  <c r="AL72" i="5"/>
  <c r="BT76" i="5"/>
  <c r="AN64" i="5"/>
  <c r="AM74" i="5"/>
  <c r="AL74" i="5"/>
  <c r="AL60" i="5"/>
  <c r="AM60" i="5"/>
  <c r="AL76" i="5"/>
  <c r="AM76" i="5"/>
  <c r="BK61" i="5"/>
  <c r="BJ61" i="5"/>
  <c r="W79" i="5"/>
  <c r="V79" i="5"/>
  <c r="S71" i="5"/>
  <c r="R71" i="5"/>
  <c r="AM58" i="5"/>
  <c r="AL58" i="5"/>
  <c r="S75" i="5"/>
  <c r="R75" i="5"/>
  <c r="S61" i="5"/>
  <c r="R61" i="5"/>
  <c r="S67" i="5"/>
  <c r="R67" i="5"/>
  <c r="S69" i="5"/>
  <c r="R69" i="5"/>
  <c r="BJ71" i="5"/>
  <c r="BK71" i="5"/>
  <c r="BJ57" i="5"/>
  <c r="BK57" i="5"/>
  <c r="BJ63" i="5"/>
  <c r="BK63" i="5"/>
  <c r="S80" i="5"/>
  <c r="R80" i="5"/>
  <c r="BK65" i="5"/>
  <c r="BJ65" i="5"/>
  <c r="AM68" i="5"/>
  <c r="AL68" i="5"/>
  <c r="X61" i="5"/>
  <c r="S73" i="5"/>
  <c r="R73" i="5"/>
  <c r="AM62" i="5"/>
  <c r="AL62" i="5"/>
  <c r="N36" i="4"/>
  <c r="N40" i="4" s="1"/>
  <c r="Z48" i="5"/>
  <c r="Z52" i="5" s="1"/>
  <c r="X76" i="5"/>
  <c r="X69" i="5"/>
  <c r="AM70" i="5"/>
  <c r="AL70" i="5"/>
  <c r="BK59" i="5"/>
  <c r="BJ59" i="5"/>
  <c r="BK67" i="5"/>
  <c r="BJ67" i="5"/>
  <c r="S57" i="5"/>
  <c r="R57" i="5"/>
  <c r="X77" i="5"/>
  <c r="X60" i="5"/>
  <c r="BK75" i="5"/>
  <c r="BJ75" i="5"/>
  <c r="R65" i="5"/>
  <c r="S65" i="5"/>
  <c r="AZ81" i="5"/>
  <c r="S60" i="5"/>
  <c r="R60" i="5"/>
  <c r="AM65" i="5"/>
  <c r="AL65" i="5"/>
  <c r="BJ70" i="5"/>
  <c r="BK70" i="5"/>
  <c r="BU70" i="5"/>
  <c r="S76" i="5"/>
  <c r="R76" i="5"/>
  <c r="L81" i="5"/>
  <c r="BJ60" i="5"/>
  <c r="BK60" i="5"/>
  <c r="BU60" i="5"/>
  <c r="R66" i="5"/>
  <c r="S66" i="5"/>
  <c r="AL71" i="5"/>
  <c r="AM71" i="5"/>
  <c r="BJ76" i="5"/>
  <c r="BK76" i="5"/>
  <c r="BU76" i="5"/>
  <c r="BS56" i="5"/>
  <c r="BR56" i="5"/>
  <c r="AY59" i="5"/>
  <c r="AX59" i="5"/>
  <c r="AE62" i="5"/>
  <c r="AD62" i="5"/>
  <c r="AO62" i="5"/>
  <c r="BR64" i="5"/>
  <c r="BS64" i="5"/>
  <c r="AY67" i="5"/>
  <c r="AX67" i="5"/>
  <c r="AE70" i="5"/>
  <c r="AD70" i="5"/>
  <c r="AO70" i="5"/>
  <c r="BS72" i="5"/>
  <c r="BR72" i="5"/>
  <c r="AX75" i="5"/>
  <c r="AY75" i="5"/>
  <c r="AD78" i="5"/>
  <c r="AE78" i="5"/>
  <c r="AO78" i="5"/>
  <c r="BD67" i="5"/>
  <c r="BD63" i="5"/>
  <c r="BD59" i="5"/>
  <c r="AN69" i="5"/>
  <c r="X66" i="5"/>
  <c r="AE57" i="5"/>
  <c r="AD57" i="5"/>
  <c r="AO57" i="5"/>
  <c r="BS59" i="5"/>
  <c r="BR59" i="5"/>
  <c r="AY62" i="5"/>
  <c r="AX62" i="5"/>
  <c r="AD65" i="5"/>
  <c r="AE65" i="5"/>
  <c r="AO65" i="5"/>
  <c r="BS67" i="5"/>
  <c r="BR67" i="5"/>
  <c r="AY70" i="5"/>
  <c r="AX70" i="5"/>
  <c r="AE73" i="5"/>
  <c r="AD73" i="5"/>
  <c r="AO73" i="5"/>
  <c r="BS75" i="5"/>
  <c r="BR75" i="5"/>
  <c r="AY78" i="5"/>
  <c r="AX78" i="5"/>
  <c r="X62" i="5"/>
  <c r="O57" i="5"/>
  <c r="Y57" i="5"/>
  <c r="N57" i="5"/>
  <c r="AI58" i="5"/>
  <c r="AH58" i="5"/>
  <c r="BC59" i="5"/>
  <c r="BB59" i="5"/>
  <c r="Y61" i="5"/>
  <c r="O61" i="5"/>
  <c r="N61" i="5"/>
  <c r="AI62" i="5"/>
  <c r="AH62" i="5"/>
  <c r="BC63" i="5"/>
  <c r="BB63" i="5"/>
  <c r="Y65" i="5"/>
  <c r="N65" i="5"/>
  <c r="O65" i="5"/>
  <c r="AH66" i="5"/>
  <c r="AI66" i="5"/>
  <c r="BC67" i="5"/>
  <c r="BB67" i="5"/>
  <c r="Y69" i="5"/>
  <c r="N69" i="5"/>
  <c r="O69" i="5"/>
  <c r="AI70" i="5"/>
  <c r="AH70" i="5"/>
  <c r="BC71" i="5"/>
  <c r="BB71" i="5"/>
  <c r="Y73" i="5"/>
  <c r="O73" i="5"/>
  <c r="N73" i="5"/>
  <c r="AI74" i="5"/>
  <c r="AH74" i="5"/>
  <c r="BC75" i="5"/>
  <c r="BB75" i="5"/>
  <c r="O77" i="5"/>
  <c r="Y77" i="5"/>
  <c r="N77" i="5"/>
  <c r="AI78" i="5"/>
  <c r="AH78" i="5"/>
  <c r="O80" i="5"/>
  <c r="N80" i="5"/>
  <c r="AU56" i="5"/>
  <c r="AT56" i="5"/>
  <c r="AS81" i="5"/>
  <c r="BE56" i="5"/>
  <c r="BO57" i="5"/>
  <c r="BN57" i="5"/>
  <c r="BU57" i="5"/>
  <c r="W59" i="5"/>
  <c r="V59" i="5"/>
  <c r="AU60" i="5"/>
  <c r="AT60" i="5"/>
  <c r="BE60" i="5"/>
  <c r="BO61" i="5"/>
  <c r="BN61" i="5"/>
  <c r="BU61" i="5"/>
  <c r="W63" i="5"/>
  <c r="V63" i="5"/>
  <c r="AU64" i="5"/>
  <c r="AT64" i="5"/>
  <c r="BE64" i="5"/>
  <c r="BO65" i="5"/>
  <c r="BN65" i="5"/>
  <c r="BU65" i="5"/>
  <c r="W67" i="5"/>
  <c r="V67" i="5"/>
  <c r="AT68" i="5"/>
  <c r="AU68" i="5"/>
  <c r="BE68" i="5"/>
  <c r="BO69" i="5"/>
  <c r="BN69" i="5"/>
  <c r="BU69" i="5"/>
  <c r="W71" i="5"/>
  <c r="V71" i="5"/>
  <c r="AT72" i="5"/>
  <c r="AU72" i="5"/>
  <c r="BE72" i="5"/>
  <c r="BN73" i="5"/>
  <c r="BO73" i="5"/>
  <c r="BU73" i="5"/>
  <c r="W75" i="5"/>
  <c r="V75" i="5"/>
  <c r="AU76" i="5"/>
  <c r="AT76" i="5"/>
  <c r="BE76" i="5"/>
  <c r="BO77" i="5"/>
  <c r="BN77" i="5"/>
  <c r="BU77" i="5"/>
  <c r="AI79" i="5"/>
  <c r="AH79" i="5"/>
  <c r="BL81" i="5"/>
  <c r="AV81" i="5"/>
  <c r="S56" i="5"/>
  <c r="R56" i="5"/>
  <c r="Q81" i="5"/>
  <c r="AL61" i="5"/>
  <c r="AM61" i="5"/>
  <c r="BJ66" i="5"/>
  <c r="BK66" i="5"/>
  <c r="BU66" i="5"/>
  <c r="R72" i="5"/>
  <c r="S72" i="5"/>
  <c r="AM77" i="5"/>
  <c r="AL77" i="5"/>
  <c r="AN68" i="5"/>
  <c r="BJ56" i="5"/>
  <c r="BI81" i="5"/>
  <c r="BU56" i="5"/>
  <c r="BK56" i="5"/>
  <c r="S62" i="5"/>
  <c r="R62" i="5"/>
  <c r="AL67" i="5"/>
  <c r="AM67" i="5"/>
  <c r="BJ72" i="5"/>
  <c r="BU72" i="5"/>
  <c r="BK72" i="5"/>
  <c r="S78" i="5"/>
  <c r="R78" i="5"/>
  <c r="AY57" i="5"/>
  <c r="AX57" i="5"/>
  <c r="AD60" i="5"/>
  <c r="AE60" i="5"/>
  <c r="AO60" i="5"/>
  <c r="BR62" i="5"/>
  <c r="BS62" i="5"/>
  <c r="AY65" i="5"/>
  <c r="AX65" i="5"/>
  <c r="AD68" i="5"/>
  <c r="AE68" i="5"/>
  <c r="AO68" i="5"/>
  <c r="BS70" i="5"/>
  <c r="BR70" i="5"/>
  <c r="AX73" i="5"/>
  <c r="AY73" i="5"/>
  <c r="AD76" i="5"/>
  <c r="AO76" i="5"/>
  <c r="AE76" i="5"/>
  <c r="Y79" i="5"/>
  <c r="N79" i="5"/>
  <c r="O79" i="5"/>
  <c r="BD66" i="5"/>
  <c r="BD62" i="5"/>
  <c r="BD58" i="5"/>
  <c r="AN73" i="5"/>
  <c r="AN57" i="5"/>
  <c r="AB81" i="5"/>
  <c r="X70" i="5"/>
  <c r="BR57" i="5"/>
  <c r="BS57" i="5"/>
  <c r="AY60" i="5"/>
  <c r="AX60" i="5"/>
  <c r="AE63" i="5"/>
  <c r="AD63" i="5"/>
  <c r="AO63" i="5"/>
  <c r="BS65" i="5"/>
  <c r="BR65" i="5"/>
  <c r="AY68" i="5"/>
  <c r="AX68" i="5"/>
  <c r="AE71" i="5"/>
  <c r="AO71" i="5"/>
  <c r="AD71" i="5"/>
  <c r="BS73" i="5"/>
  <c r="BR73" i="5"/>
  <c r="AY76" i="5"/>
  <c r="AX76" i="5"/>
  <c r="AL79" i="5"/>
  <c r="AM79" i="5"/>
  <c r="O56" i="5"/>
  <c r="N56" i="5"/>
  <c r="M81" i="5"/>
  <c r="AH57" i="5"/>
  <c r="AI57" i="5"/>
  <c r="BB58" i="5"/>
  <c r="BC58" i="5"/>
  <c r="O60" i="5"/>
  <c r="N60" i="5"/>
  <c r="AI61" i="5"/>
  <c r="AH61" i="5"/>
  <c r="BB62" i="5"/>
  <c r="BC62" i="5"/>
  <c r="O64" i="5"/>
  <c r="N64" i="5"/>
  <c r="AH65" i="5"/>
  <c r="AI65" i="5"/>
  <c r="BB66" i="5"/>
  <c r="BC66" i="5"/>
  <c r="O68" i="5"/>
  <c r="N68" i="5"/>
  <c r="AI69" i="5"/>
  <c r="AH69" i="5"/>
  <c r="BB70" i="5"/>
  <c r="BC70" i="5"/>
  <c r="N72" i="5"/>
  <c r="O72" i="5"/>
  <c r="AI73" i="5"/>
  <c r="AH73" i="5"/>
  <c r="BC74" i="5"/>
  <c r="BB74" i="5"/>
  <c r="N76" i="5"/>
  <c r="O76" i="5"/>
  <c r="AI77" i="5"/>
  <c r="AH77" i="5"/>
  <c r="BC78" i="5"/>
  <c r="BB78" i="5"/>
  <c r="AM80" i="5"/>
  <c r="AL80" i="5"/>
  <c r="BO56" i="5"/>
  <c r="BN56" i="5"/>
  <c r="BM81" i="5"/>
  <c r="W58" i="5"/>
  <c r="V58" i="5"/>
  <c r="AU59" i="5"/>
  <c r="AT59" i="5"/>
  <c r="BE59" i="5"/>
  <c r="BN60" i="5"/>
  <c r="BO60" i="5"/>
  <c r="W62" i="5"/>
  <c r="V62" i="5"/>
  <c r="AU63" i="5"/>
  <c r="AT63" i="5"/>
  <c r="BE63" i="5"/>
  <c r="BO64" i="5"/>
  <c r="BN64" i="5"/>
  <c r="W66" i="5"/>
  <c r="V66" i="5"/>
  <c r="AU67" i="5"/>
  <c r="AT67" i="5"/>
  <c r="BE67" i="5"/>
  <c r="BN68" i="5"/>
  <c r="BO68" i="5"/>
  <c r="V70" i="5"/>
  <c r="W70" i="5"/>
  <c r="AU71" i="5"/>
  <c r="AT71" i="5"/>
  <c r="BE71" i="5"/>
  <c r="BO72" i="5"/>
  <c r="BN72" i="5"/>
  <c r="V74" i="5"/>
  <c r="W74" i="5"/>
  <c r="AT75" i="5"/>
  <c r="AU75" i="5"/>
  <c r="BE75" i="5"/>
  <c r="BN76" i="5"/>
  <c r="BO76" i="5"/>
  <c r="V78" i="5"/>
  <c r="W78" i="5"/>
  <c r="BJ79" i="5"/>
  <c r="BK79" i="5"/>
  <c r="BT56" i="5"/>
  <c r="BH81" i="5"/>
  <c r="AL57" i="5"/>
  <c r="AM57" i="5"/>
  <c r="AK81" i="5"/>
  <c r="BK62" i="5"/>
  <c r="BJ62" i="5"/>
  <c r="BU62" i="5"/>
  <c r="R68" i="5"/>
  <c r="S68" i="5"/>
  <c r="AM73" i="5"/>
  <c r="AL73" i="5"/>
  <c r="BK78" i="5"/>
  <c r="BJ78" i="5"/>
  <c r="BP81" i="5"/>
  <c r="S58" i="5"/>
  <c r="R58" i="5"/>
  <c r="AM63" i="5"/>
  <c r="AL63" i="5"/>
  <c r="BJ68" i="5"/>
  <c r="BK68" i="5"/>
  <c r="BU68" i="5"/>
  <c r="S74" i="5"/>
  <c r="R74" i="5"/>
  <c r="BC79" i="5"/>
  <c r="BB79" i="5"/>
  <c r="AE58" i="5"/>
  <c r="AD58" i="5"/>
  <c r="AO58" i="5"/>
  <c r="BS60" i="5"/>
  <c r="BR60" i="5"/>
  <c r="AY63" i="5"/>
  <c r="AX63" i="5"/>
  <c r="AE66" i="5"/>
  <c r="AD66" i="5"/>
  <c r="AO66" i="5"/>
  <c r="BS68" i="5"/>
  <c r="BR68" i="5"/>
  <c r="AY71" i="5"/>
  <c r="AX71" i="5"/>
  <c r="AD74" i="5"/>
  <c r="AE74" i="5"/>
  <c r="AO74" i="5"/>
  <c r="BS76" i="5"/>
  <c r="BR76" i="5"/>
  <c r="BO79" i="5"/>
  <c r="BN79" i="5"/>
  <c r="BD65" i="5"/>
  <c r="BD61" i="5"/>
  <c r="BD57" i="5"/>
  <c r="AN77" i="5"/>
  <c r="AN61" i="5"/>
  <c r="X74" i="5"/>
  <c r="X63" i="5"/>
  <c r="X56" i="5"/>
  <c r="P81" i="5"/>
  <c r="AY58" i="5"/>
  <c r="AX58" i="5"/>
  <c r="AD61" i="5"/>
  <c r="AO61" i="5"/>
  <c r="AE61" i="5"/>
  <c r="BS63" i="5"/>
  <c r="BR63" i="5"/>
  <c r="AY66" i="5"/>
  <c r="AX66" i="5"/>
  <c r="AE69" i="5"/>
  <c r="AD69" i="5"/>
  <c r="AO69" i="5"/>
  <c r="BS71" i="5"/>
  <c r="BR71" i="5"/>
  <c r="AY74" i="5"/>
  <c r="AX74" i="5"/>
  <c r="AE77" i="5"/>
  <c r="AD77" i="5"/>
  <c r="AO77" i="5"/>
  <c r="AI80" i="5"/>
  <c r="AH80" i="5"/>
  <c r="AH56" i="5"/>
  <c r="AI56" i="5"/>
  <c r="AG81" i="5"/>
  <c r="BC57" i="5"/>
  <c r="BB57" i="5"/>
  <c r="Y59" i="5"/>
  <c r="N59" i="5"/>
  <c r="O59" i="5"/>
  <c r="AI60" i="5"/>
  <c r="AH60" i="5"/>
  <c r="BC61" i="5"/>
  <c r="BB61" i="5"/>
  <c r="Y63" i="5"/>
  <c r="N63" i="5"/>
  <c r="O63" i="5"/>
  <c r="AI64" i="5"/>
  <c r="AH64" i="5"/>
  <c r="BB65" i="5"/>
  <c r="BC65" i="5"/>
  <c r="Y67" i="5"/>
  <c r="N67" i="5"/>
  <c r="O67" i="5"/>
  <c r="AI68" i="5"/>
  <c r="AH68" i="5"/>
  <c r="BC69" i="5"/>
  <c r="BB69" i="5"/>
  <c r="Y71" i="5"/>
  <c r="N71" i="5"/>
  <c r="O71" i="5"/>
  <c r="AI72" i="5"/>
  <c r="AH72" i="5"/>
  <c r="BC73" i="5"/>
  <c r="BB73" i="5"/>
  <c r="Y75" i="5"/>
  <c r="O75" i="5"/>
  <c r="N75" i="5"/>
  <c r="AI76" i="5"/>
  <c r="AH76" i="5"/>
  <c r="BC77" i="5"/>
  <c r="BB77" i="5"/>
  <c r="S79" i="5"/>
  <c r="R79" i="5"/>
  <c r="BO80" i="5"/>
  <c r="BN80" i="5"/>
  <c r="W57" i="5"/>
  <c r="V57" i="5"/>
  <c r="AU58" i="5"/>
  <c r="AT58" i="5"/>
  <c r="BE58" i="5"/>
  <c r="BO59" i="5"/>
  <c r="BN59" i="5"/>
  <c r="BU59" i="5"/>
  <c r="W61" i="5"/>
  <c r="V61" i="5"/>
  <c r="AT62" i="5"/>
  <c r="AU62" i="5"/>
  <c r="BE62" i="5"/>
  <c r="BO63" i="5"/>
  <c r="BN63" i="5"/>
  <c r="BU63" i="5"/>
  <c r="V65" i="5"/>
  <c r="W65" i="5"/>
  <c r="AU66" i="5"/>
  <c r="AT66" i="5"/>
  <c r="BE66" i="5"/>
  <c r="BO67" i="5"/>
  <c r="BN67" i="5"/>
  <c r="BU67" i="5"/>
  <c r="W69" i="5"/>
  <c r="V69" i="5"/>
  <c r="AU70" i="5"/>
  <c r="AT70" i="5"/>
  <c r="BE70" i="5"/>
  <c r="BN71" i="5"/>
  <c r="BO71" i="5"/>
  <c r="BU71" i="5"/>
  <c r="W73" i="5"/>
  <c r="V73" i="5"/>
  <c r="AT74" i="5"/>
  <c r="AU74" i="5"/>
  <c r="BE74" i="5"/>
  <c r="BO75" i="5"/>
  <c r="BN75" i="5"/>
  <c r="BU75" i="5"/>
  <c r="W77" i="5"/>
  <c r="V77" i="5"/>
  <c r="AT78" i="5"/>
  <c r="AU78" i="5"/>
  <c r="BE78" i="5"/>
  <c r="W80" i="5"/>
  <c r="V80" i="5"/>
  <c r="BT57" i="5"/>
  <c r="BR80" i="5"/>
  <c r="BS80" i="5"/>
  <c r="AF81" i="5"/>
  <c r="BJ58" i="5"/>
  <c r="BK58" i="5"/>
  <c r="BU58" i="5"/>
  <c r="S64" i="5"/>
  <c r="R64" i="5"/>
  <c r="AM69" i="5"/>
  <c r="AL69" i="5"/>
  <c r="BK74" i="5"/>
  <c r="BJ74" i="5"/>
  <c r="BU74" i="5"/>
  <c r="AU80" i="5"/>
  <c r="AT80" i="5"/>
  <c r="T81" i="5"/>
  <c r="AM59" i="5"/>
  <c r="AL59" i="5"/>
  <c r="BJ64" i="5"/>
  <c r="BK64" i="5"/>
  <c r="BU64" i="5"/>
  <c r="R70" i="5"/>
  <c r="S70" i="5"/>
  <c r="AM75" i="5"/>
  <c r="AL75" i="5"/>
  <c r="AE56" i="5"/>
  <c r="AD56" i="5"/>
  <c r="AO56" i="5"/>
  <c r="BS58" i="5"/>
  <c r="BR58" i="5"/>
  <c r="AY61" i="5"/>
  <c r="AX61" i="5"/>
  <c r="AD64" i="5"/>
  <c r="AE64" i="5"/>
  <c r="AO64" i="5"/>
  <c r="BS66" i="5"/>
  <c r="BR66" i="5"/>
  <c r="AX69" i="5"/>
  <c r="AY69" i="5"/>
  <c r="AD72" i="5"/>
  <c r="AE72" i="5"/>
  <c r="AO72" i="5"/>
  <c r="BS74" i="5"/>
  <c r="BR74" i="5"/>
  <c r="AY77" i="5"/>
  <c r="AX77" i="5"/>
  <c r="BJ80" i="5"/>
  <c r="BU80" i="5"/>
  <c r="BK80" i="5"/>
  <c r="BD64" i="5"/>
  <c r="BD60" i="5"/>
  <c r="BD56" i="5"/>
  <c r="AR81" i="5"/>
  <c r="AN65" i="5"/>
  <c r="AJ81" i="5"/>
  <c r="X78" i="5"/>
  <c r="AX56" i="5"/>
  <c r="AY56" i="5"/>
  <c r="AE59" i="5"/>
  <c r="AD59" i="5"/>
  <c r="AO59" i="5"/>
  <c r="BS61" i="5"/>
  <c r="BR61" i="5"/>
  <c r="AX64" i="5"/>
  <c r="AY64" i="5"/>
  <c r="AE67" i="5"/>
  <c r="AD67" i="5"/>
  <c r="AO67" i="5"/>
  <c r="BS69" i="5"/>
  <c r="BR69" i="5"/>
  <c r="AY72" i="5"/>
  <c r="AX72" i="5"/>
  <c r="AE75" i="5"/>
  <c r="AO75" i="5"/>
  <c r="AD75" i="5"/>
  <c r="BR77" i="5"/>
  <c r="BS77" i="5"/>
  <c r="X58" i="5"/>
  <c r="BB56" i="5"/>
  <c r="BC56" i="5"/>
  <c r="BA81" i="5"/>
  <c r="O58" i="5"/>
  <c r="N58" i="5"/>
  <c r="AI59" i="5"/>
  <c r="AH59" i="5"/>
  <c r="BC60" i="5"/>
  <c r="BB60" i="5"/>
  <c r="O62" i="5"/>
  <c r="N62" i="5"/>
  <c r="AI63" i="5"/>
  <c r="AH63" i="5"/>
  <c r="BC64" i="5"/>
  <c r="BB64" i="5"/>
  <c r="O66" i="5"/>
  <c r="N66" i="5"/>
  <c r="AI67" i="5"/>
  <c r="AH67" i="5"/>
  <c r="BC68" i="5"/>
  <c r="BB68" i="5"/>
  <c r="O70" i="5"/>
  <c r="N70" i="5"/>
  <c r="AI71" i="5"/>
  <c r="AH71" i="5"/>
  <c r="BC72" i="5"/>
  <c r="BB72" i="5"/>
  <c r="N74" i="5"/>
  <c r="O74" i="5"/>
  <c r="AI75" i="5"/>
  <c r="AH75" i="5"/>
  <c r="BC76" i="5"/>
  <c r="BB76" i="5"/>
  <c r="N78" i="5"/>
  <c r="O78" i="5"/>
  <c r="AT79" i="5"/>
  <c r="AU79" i="5"/>
  <c r="W56" i="5"/>
  <c r="V56" i="5"/>
  <c r="U81" i="5"/>
  <c r="AU57" i="5"/>
  <c r="AT57" i="5"/>
  <c r="BE57" i="5"/>
  <c r="BO58" i="5"/>
  <c r="BN58" i="5"/>
  <c r="V60" i="5"/>
  <c r="W60" i="5"/>
  <c r="AU61" i="5"/>
  <c r="AT61" i="5"/>
  <c r="BE61" i="5"/>
  <c r="BN62" i="5"/>
  <c r="BO62" i="5"/>
  <c r="W64" i="5"/>
  <c r="V64" i="5"/>
  <c r="AU65" i="5"/>
  <c r="AT65" i="5"/>
  <c r="BE65" i="5"/>
  <c r="BO66" i="5"/>
  <c r="BN66" i="5"/>
  <c r="V68" i="5"/>
  <c r="W68" i="5"/>
  <c r="AU69" i="5"/>
  <c r="AT69" i="5"/>
  <c r="BE69" i="5"/>
  <c r="BN70" i="5"/>
  <c r="BO70" i="5"/>
  <c r="W72" i="5"/>
  <c r="V72" i="5"/>
  <c r="AU73" i="5"/>
  <c r="AT73" i="5"/>
  <c r="BE73" i="5"/>
  <c r="BN74" i="5"/>
  <c r="BO74" i="5"/>
  <c r="W76" i="5"/>
  <c r="V76" i="5"/>
  <c r="AT77" i="5"/>
  <c r="AU77" i="5"/>
  <c r="BE77" i="5"/>
  <c r="BN78" i="5"/>
  <c r="BO78" i="5"/>
  <c r="BC80" i="5"/>
  <c r="BB80" i="5"/>
  <c r="AD79" i="5"/>
  <c r="AO79" i="5"/>
  <c r="AC81" i="5"/>
  <c r="AE79" i="5"/>
  <c r="Z78" i="5"/>
  <c r="AA78" i="5"/>
  <c r="Z70" i="5"/>
  <c r="Z62" i="5"/>
  <c r="AD80" i="5"/>
  <c r="AE80" i="5"/>
  <c r="AO80" i="5"/>
  <c r="BR78" i="5"/>
  <c r="BS78" i="5"/>
  <c r="BQ81" i="5"/>
  <c r="BU78" i="5"/>
  <c r="Z76" i="5"/>
  <c r="AA76" i="5"/>
  <c r="R48" i="5"/>
  <c r="R52" i="5" s="1"/>
  <c r="BS79" i="5"/>
  <c r="BR79" i="5"/>
  <c r="BU79" i="5"/>
  <c r="Z74" i="5"/>
  <c r="AA58" i="5"/>
  <c r="D28" i="5"/>
  <c r="D48" i="5" s="1"/>
  <c r="D52" i="5" s="1"/>
  <c r="C36" i="4"/>
  <c r="C40" i="4" s="1"/>
  <c r="D81" i="5"/>
  <c r="AY80" i="5"/>
  <c r="AX80" i="5"/>
  <c r="BE80" i="5"/>
  <c r="AY79" i="5"/>
  <c r="AX79" i="5"/>
  <c r="BE79" i="5"/>
  <c r="AW81" i="5"/>
  <c r="Z72" i="5"/>
  <c r="Z64" i="5"/>
  <c r="Z80" i="5" l="1"/>
  <c r="BW87" i="5"/>
  <c r="AA66" i="5"/>
  <c r="AQ87" i="5"/>
  <c r="BG87" i="5"/>
  <c r="J75" i="5"/>
  <c r="Y81" i="5"/>
  <c r="AA60" i="5"/>
  <c r="Z56" i="5"/>
  <c r="AA68" i="5"/>
  <c r="J52" i="5"/>
  <c r="F52" i="5"/>
  <c r="AA87" i="5"/>
  <c r="Y87" i="5"/>
  <c r="BE87" i="5"/>
  <c r="AO87" i="5"/>
  <c r="J63" i="5"/>
  <c r="J80" i="5"/>
  <c r="J60" i="5"/>
  <c r="J73" i="5"/>
  <c r="J68" i="5"/>
  <c r="J76" i="5"/>
  <c r="J71" i="5"/>
  <c r="J66" i="5"/>
  <c r="J67" i="5"/>
  <c r="J78" i="5"/>
  <c r="J70" i="5"/>
  <c r="J59" i="5"/>
  <c r="J79" i="5"/>
  <c r="J77" i="5"/>
  <c r="J69" i="5"/>
  <c r="J74" i="5"/>
  <c r="J72" i="5"/>
  <c r="H48" i="5"/>
  <c r="H52" i="5" s="1"/>
  <c r="E36" i="4"/>
  <c r="E40" i="4" s="1"/>
  <c r="J62" i="5"/>
  <c r="J58" i="5"/>
  <c r="J65" i="5"/>
  <c r="J64" i="5"/>
  <c r="AN81" i="5"/>
  <c r="J61" i="5"/>
  <c r="BT81" i="5"/>
  <c r="J57" i="5"/>
  <c r="BF65" i="5"/>
  <c r="BG65" i="5"/>
  <c r="AQ64" i="5"/>
  <c r="AP64" i="5"/>
  <c r="Z71" i="5"/>
  <c r="AA71" i="5"/>
  <c r="AH81" i="5"/>
  <c r="AI81" i="5"/>
  <c r="AP69" i="5"/>
  <c r="AQ69" i="5"/>
  <c r="AQ61" i="5"/>
  <c r="AP61" i="5"/>
  <c r="AQ66" i="5"/>
  <c r="AP66" i="5"/>
  <c r="BV62" i="5"/>
  <c r="BW62" i="5"/>
  <c r="BF63" i="5"/>
  <c r="BG63" i="5"/>
  <c r="BO81" i="5"/>
  <c r="BN81" i="5"/>
  <c r="BW77" i="5"/>
  <c r="BV77" i="5"/>
  <c r="BW73" i="5"/>
  <c r="BV73" i="5"/>
  <c r="BW69" i="5"/>
  <c r="BV69" i="5"/>
  <c r="BW65" i="5"/>
  <c r="BV65" i="5"/>
  <c r="BW61" i="5"/>
  <c r="BV61" i="5"/>
  <c r="BV57" i="5"/>
  <c r="BW57" i="5"/>
  <c r="AU81" i="5"/>
  <c r="AT81" i="5"/>
  <c r="Z77" i="5"/>
  <c r="AA77" i="5"/>
  <c r="Z73" i="5"/>
  <c r="AA73" i="5"/>
  <c r="AQ57" i="5"/>
  <c r="AP57" i="5"/>
  <c r="AQ78" i="5"/>
  <c r="AP78" i="5"/>
  <c r="BW60" i="5"/>
  <c r="BV60" i="5"/>
  <c r="BG69" i="5"/>
  <c r="BF69" i="5"/>
  <c r="V81" i="5"/>
  <c r="W81" i="5"/>
  <c r="AQ75" i="5"/>
  <c r="AP75" i="5"/>
  <c r="AQ72" i="5"/>
  <c r="AP72" i="5"/>
  <c r="BW58" i="5"/>
  <c r="BV58" i="5"/>
  <c r="Z75" i="5"/>
  <c r="AA75" i="5"/>
  <c r="Z59" i="5"/>
  <c r="AA59" i="5"/>
  <c r="AQ77" i="5"/>
  <c r="AP77" i="5"/>
  <c r="J56" i="5"/>
  <c r="X81" i="5"/>
  <c r="AP74" i="5"/>
  <c r="AQ74" i="5"/>
  <c r="BG67" i="5"/>
  <c r="BF67" i="5"/>
  <c r="AQ71" i="5"/>
  <c r="AP71" i="5"/>
  <c r="AQ76" i="5"/>
  <c r="AP76" i="5"/>
  <c r="BW56" i="5"/>
  <c r="BV56" i="5"/>
  <c r="BV66" i="5"/>
  <c r="BW66" i="5"/>
  <c r="Z61" i="5"/>
  <c r="AA61" i="5"/>
  <c r="AP65" i="5"/>
  <c r="AQ65" i="5"/>
  <c r="BW76" i="5"/>
  <c r="BV76" i="5"/>
  <c r="BG73" i="5"/>
  <c r="BF73" i="5"/>
  <c r="BF57" i="5"/>
  <c r="BG57" i="5"/>
  <c r="BB81" i="5"/>
  <c r="BC81" i="5"/>
  <c r="AP59" i="5"/>
  <c r="AQ59" i="5"/>
  <c r="BV64" i="5"/>
  <c r="BW64" i="5"/>
  <c r="BV74" i="5"/>
  <c r="BW74" i="5"/>
  <c r="BG78" i="5"/>
  <c r="BF78" i="5"/>
  <c r="BG74" i="5"/>
  <c r="BF74" i="5"/>
  <c r="BF70" i="5"/>
  <c r="BG70" i="5"/>
  <c r="BF66" i="5"/>
  <c r="BG66" i="5"/>
  <c r="BG62" i="5"/>
  <c r="BF62" i="5"/>
  <c r="BF58" i="5"/>
  <c r="BG58" i="5"/>
  <c r="Z63" i="5"/>
  <c r="AA63" i="5"/>
  <c r="BV68" i="5"/>
  <c r="BW68" i="5"/>
  <c r="BG71" i="5"/>
  <c r="BF71" i="5"/>
  <c r="AQ60" i="5"/>
  <c r="AP60" i="5"/>
  <c r="BW72" i="5"/>
  <c r="BV72" i="5"/>
  <c r="BJ81" i="5"/>
  <c r="BK81" i="5"/>
  <c r="S81" i="5"/>
  <c r="R81" i="5"/>
  <c r="Z65" i="5"/>
  <c r="AA65" i="5"/>
  <c r="AP73" i="5"/>
  <c r="AQ73" i="5"/>
  <c r="AP62" i="5"/>
  <c r="AQ62" i="5"/>
  <c r="BF77" i="5"/>
  <c r="BG77" i="5"/>
  <c r="BG61" i="5"/>
  <c r="BF61" i="5"/>
  <c r="AP67" i="5"/>
  <c r="AQ67" i="5"/>
  <c r="BD81" i="5"/>
  <c r="BW80" i="5"/>
  <c r="BV80" i="5"/>
  <c r="AQ56" i="5"/>
  <c r="AP56" i="5"/>
  <c r="BV75" i="5"/>
  <c r="BW75" i="5"/>
  <c r="BW71" i="5"/>
  <c r="BV71" i="5"/>
  <c r="BV67" i="5"/>
  <c r="BW67" i="5"/>
  <c r="BV63" i="5"/>
  <c r="BW63" i="5"/>
  <c r="BW59" i="5"/>
  <c r="BV59" i="5"/>
  <c r="Z67" i="5"/>
  <c r="AA67" i="5"/>
  <c r="AQ58" i="5"/>
  <c r="AP58" i="5"/>
  <c r="AL81" i="5"/>
  <c r="AM81" i="5"/>
  <c r="BG75" i="5"/>
  <c r="BF75" i="5"/>
  <c r="BF59" i="5"/>
  <c r="BG59" i="5"/>
  <c r="N81" i="5"/>
  <c r="O81" i="5"/>
  <c r="AP63" i="5"/>
  <c r="AQ63" i="5"/>
  <c r="Z79" i="5"/>
  <c r="AA79" i="5"/>
  <c r="AQ68" i="5"/>
  <c r="AP68" i="5"/>
  <c r="BF76" i="5"/>
  <c r="BG76" i="5"/>
  <c r="BF72" i="5"/>
  <c r="BG72" i="5"/>
  <c r="BG68" i="5"/>
  <c r="BF68" i="5"/>
  <c r="BG64" i="5"/>
  <c r="BF64" i="5"/>
  <c r="BF60" i="5"/>
  <c r="BG60" i="5"/>
  <c r="BG56" i="5"/>
  <c r="BF56" i="5"/>
  <c r="Z69" i="5"/>
  <c r="AA69" i="5"/>
  <c r="Z57" i="5"/>
  <c r="AA57" i="5"/>
  <c r="AQ70" i="5"/>
  <c r="AP70" i="5"/>
  <c r="BW70" i="5"/>
  <c r="BV70" i="5"/>
  <c r="Z81" i="5"/>
  <c r="AA81" i="5"/>
  <c r="AY81" i="5"/>
  <c r="AX81" i="5"/>
  <c r="BF80" i="5"/>
  <c r="BG80" i="5"/>
  <c r="BV78" i="5"/>
  <c r="BW78" i="5"/>
  <c r="BU81" i="5"/>
  <c r="AP80" i="5"/>
  <c r="AQ80" i="5"/>
  <c r="AD81" i="5"/>
  <c r="AE81" i="5"/>
  <c r="BF79" i="5"/>
  <c r="BG79" i="5"/>
  <c r="BE81" i="5"/>
  <c r="BS81" i="5"/>
  <c r="BR81" i="5"/>
  <c r="AQ79" i="5"/>
  <c r="AP79" i="5"/>
  <c r="AO81" i="5"/>
  <c r="BV79" i="5"/>
  <c r="BW79" i="5"/>
  <c r="J81" i="5" l="1"/>
  <c r="BG81" i="5"/>
  <c r="BF81" i="5"/>
  <c r="AQ81" i="5"/>
  <c r="AP81" i="5"/>
  <c r="BW81" i="5"/>
  <c r="BV81" i="5"/>
</calcChain>
</file>

<file path=xl/sharedStrings.xml><?xml version="1.0" encoding="utf-8"?>
<sst xmlns="http://schemas.openxmlformats.org/spreadsheetml/2006/main" count="6156" uniqueCount="2109">
  <si>
    <t>на ________ год (на _________ период)</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</si>
  <si>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</si>
  <si>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</si>
  <si>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</si>
  <si>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</si>
  <si>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</si>
  <si>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</si>
  <si>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</si>
  <si>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Условия договора</t>
  </si>
  <si>
    <t>Способ закупки</t>
  </si>
  <si>
    <t>Закупка в электронной форме</t>
  </si>
  <si>
    <t>Наименование ЭТП</t>
  </si>
  <si>
    <t>Особая закупочная ситуация</t>
  </si>
  <si>
    <t>Основание закупки у ЕП</t>
  </si>
  <si>
    <t>Инициатор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</si>
  <si>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</si>
  <si>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</si>
  <si>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</si>
  <si>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</si>
  <si>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</si>
  <si>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Источник финансирования (статья расходов)</t>
  </si>
  <si>
    <t>График осуществления процедур закупки</t>
  </si>
  <si>
    <t>Наименование</t>
  </si>
  <si>
    <t>Код по ОКАТО</t>
  </si>
  <si>
    <t>Срок исполнения договора (месяц, год)</t>
  </si>
  <si>
    <t>да/нет</t>
  </si>
  <si>
    <t>Цена договора</t>
  </si>
  <si>
    <t>11.1</t>
  </si>
  <si>
    <t>11.2</t>
  </si>
  <si>
    <t>__________________________________________________________________     ________________ "  " ______________ 20__ г.</t>
  </si>
  <si>
    <t xml:space="preserve"> (Ф.И.О., должность руководителя (уполномоченного лица) заказчика)         (подпись)        (дата утверждения)</t>
  </si>
  <si>
    <t xml:space="preserve">                                                                             МП</t>
  </si>
  <si>
    <t>Сведения о НМЦ договора (цене лота)</t>
  </si>
  <si>
    <t xml:space="preserve">Дата размещения извещения о закупке </t>
  </si>
  <si>
    <t>Дата рассмотрения заявок</t>
  </si>
  <si>
    <t>Срок исполнения договора</t>
  </si>
  <si>
    <t>(дд.мм.гггг)</t>
  </si>
  <si>
    <t>План
(мм.гггг)</t>
  </si>
  <si>
    <t>Факт
(дд.мм.гггг)</t>
  </si>
  <si>
    <t>План
(дд.мм.гггг)</t>
  </si>
  <si>
    <t>План</t>
  </si>
  <si>
    <t>Особые закупочные ситуации</t>
  </si>
  <si>
    <t>Код</t>
  </si>
  <si>
    <t>Статусы закупки:</t>
  </si>
  <si>
    <t>Закупки в рамках реализации ГОЗ</t>
  </si>
  <si>
    <t>ГОЗ</t>
  </si>
  <si>
    <t>Подготовка к проведению</t>
  </si>
  <si>
    <t>Анонсирование</t>
  </si>
  <si>
    <t>Закупки в целях реализации ФЦП</t>
  </si>
  <si>
    <t>ФЦП</t>
  </si>
  <si>
    <t>Закупки для реализации системных проектов</t>
  </si>
  <si>
    <t>РСП</t>
  </si>
  <si>
    <t>Заключение договора</t>
  </si>
  <si>
    <t>Закупки продукции по инфраструктурным видам деятельности</t>
  </si>
  <si>
    <t>ИВД</t>
  </si>
  <si>
    <t>Закупки инновационной и высокотехнологичной продукции</t>
  </si>
  <si>
    <t>ИВП</t>
  </si>
  <si>
    <t>Закупки с участием субъектов малого и среднего предпринимательства</t>
  </si>
  <si>
    <t>МСП</t>
  </si>
  <si>
    <t>Не применяется</t>
  </si>
  <si>
    <t>Н/Д</t>
  </si>
  <si>
    <t>Признана несостоявшейся</t>
  </si>
  <si>
    <t>Отменена</t>
  </si>
  <si>
    <t>Приостановлена</t>
  </si>
  <si>
    <t>Завершена</t>
  </si>
  <si>
    <t>Планируемая дата или период размещения извещения о закупке (месяц, год)</t>
  </si>
  <si>
    <t>6.6.2(1)</t>
  </si>
  <si>
    <t>6.6.2(2)</t>
  </si>
  <si>
    <t>6.6.2(3)</t>
  </si>
  <si>
    <t>6.6.2(4)</t>
  </si>
  <si>
    <t>6.6.2(5)</t>
  </si>
  <si>
    <t>6.6.2(6)</t>
  </si>
  <si>
    <t>6.6.2(7)</t>
  </si>
  <si>
    <t>6.6.2(8)</t>
  </si>
  <si>
    <t>6.6.2(10)</t>
  </si>
  <si>
    <t>6.6.2(11)</t>
  </si>
  <si>
    <t>6.6.2(12)</t>
  </si>
  <si>
    <t>6.6.2(13)</t>
  </si>
  <si>
    <t>6.6.2(14)</t>
  </si>
  <si>
    <t>6.6.2(15)</t>
  </si>
  <si>
    <t>6.6.2(16)</t>
  </si>
  <si>
    <t>6.6.2(17)</t>
  </si>
  <si>
    <t>6.6.2(18)</t>
  </si>
  <si>
    <t>6.6.2(19)</t>
  </si>
  <si>
    <t>6.6.2(20)</t>
  </si>
  <si>
    <t>6.6.2(21)</t>
  </si>
  <si>
    <t>6.6.2(22)</t>
  </si>
  <si>
    <t>6.6.2(23)</t>
  </si>
  <si>
    <t>6.6.2(24)</t>
  </si>
  <si>
    <t>6.6.2(25)</t>
  </si>
  <si>
    <t>6.6.2(26)</t>
  </si>
  <si>
    <t>6.6.2(27)</t>
  </si>
  <si>
    <t>6.6.2(28)</t>
  </si>
  <si>
    <t>6.6.2(29)</t>
  </si>
  <si>
    <t>6.6.2(30)</t>
  </si>
  <si>
    <t>6.6.2(33)</t>
  </si>
  <si>
    <t>6.6.2(34)</t>
  </si>
  <si>
    <t>6.6.2(35)</t>
  </si>
  <si>
    <t>6.6.2(37)</t>
  </si>
  <si>
    <t>6.6.2(38)</t>
  </si>
  <si>
    <t>Не применимо</t>
  </si>
  <si>
    <t>Открытый конкурс</t>
  </si>
  <si>
    <t>ОК</t>
  </si>
  <si>
    <t>Открытый аукцион</t>
  </si>
  <si>
    <t>ОА</t>
  </si>
  <si>
    <t>Открытый редукцион</t>
  </si>
  <si>
    <t>ОР</t>
  </si>
  <si>
    <t>Открытый запрос предложений</t>
  </si>
  <si>
    <t>ОЗП</t>
  </si>
  <si>
    <t>Открытый запрос котировок</t>
  </si>
  <si>
    <t>ОЗК</t>
  </si>
  <si>
    <t>Закупка у единственного поставщика</t>
  </si>
  <si>
    <t>ЕП</t>
  </si>
  <si>
    <t>Прочие маркеры:</t>
  </si>
  <si>
    <t>Да</t>
  </si>
  <si>
    <t>Нет</t>
  </si>
  <si>
    <t>Плановые показатели закупочной деятельности</t>
  </si>
  <si>
    <t>Количество</t>
  </si>
  <si>
    <t>%</t>
  </si>
  <si>
    <t>Общее количество закупок</t>
  </si>
  <si>
    <t>Общая сумма закупок</t>
  </si>
  <si>
    <t>1</t>
  </si>
  <si>
    <t>2</t>
  </si>
  <si>
    <t>3</t>
  </si>
  <si>
    <t>4</t>
  </si>
  <si>
    <t>5</t>
  </si>
  <si>
    <t>6</t>
  </si>
  <si>
    <t>7</t>
  </si>
  <si>
    <t>8</t>
  </si>
  <si>
    <t>9</t>
  </si>
  <si>
    <t>10</t>
  </si>
  <si>
    <t>11</t>
  </si>
  <si>
    <t>12</t>
  </si>
  <si>
    <t>13</t>
  </si>
  <si>
    <t>14</t>
  </si>
  <si>
    <t>15</t>
  </si>
  <si>
    <t>16</t>
  </si>
  <si>
    <t>17</t>
  </si>
  <si>
    <t>18</t>
  </si>
  <si>
    <t>19</t>
  </si>
  <si>
    <t>20</t>
  </si>
  <si>
    <t>21</t>
  </si>
  <si>
    <t>22</t>
  </si>
  <si>
    <t>15.1</t>
  </si>
  <si>
    <t>15.3</t>
  </si>
  <si>
    <t>15.4</t>
  </si>
  <si>
    <t>15.8</t>
  </si>
  <si>
    <t>15.9</t>
  </si>
  <si>
    <t>15.10</t>
  </si>
  <si>
    <t>Участниками которых являются любые участники процедуры закупки, в том числе субъекты МСП</t>
  </si>
  <si>
    <t>Закупки у МСП:</t>
  </si>
  <si>
    <t>Участниками которых являются только субъекты МСП</t>
  </si>
  <si>
    <t>В отношении участников которых устанавливается требование о привлечении к исполнению договора субподрядчиков (соисполнителей) из числа субъектов МСП</t>
  </si>
  <si>
    <t>26</t>
  </si>
  <si>
    <t>27</t>
  </si>
  <si>
    <t>28</t>
  </si>
  <si>
    <t>По статусам закупок</t>
  </si>
  <si>
    <t>30</t>
  </si>
  <si>
    <t>Перечень потенциальных поставщиков</t>
  </si>
  <si>
    <t>15.11</t>
  </si>
  <si>
    <t>Основные условия предложения победителя/ЕП</t>
  </si>
  <si>
    <t>Код по ОКЕИ</t>
  </si>
  <si>
    <t>Дата получения ЗП запроса на проведение закупки</t>
  </si>
  <si>
    <t>Способ закупки (факт)</t>
  </si>
  <si>
    <t>19.16.3(1)</t>
  </si>
  <si>
    <t>19.16.3(2)</t>
  </si>
  <si>
    <t>19.16.3(3)</t>
  </si>
  <si>
    <t>11.3</t>
  </si>
  <si>
    <t>Закрытый конкурс</t>
  </si>
  <si>
    <t>Закрытый аукцион</t>
  </si>
  <si>
    <t>Закрытый редукцион</t>
  </si>
  <si>
    <t>Закрытый запрос предложений</t>
  </si>
  <si>
    <t>Закрытый запрос котировок</t>
  </si>
  <si>
    <t>Открытый конкурс с квалификационным отбором</t>
  </si>
  <si>
    <t>ОКсКО</t>
  </si>
  <si>
    <t>ОАсКО</t>
  </si>
  <si>
    <t>ОРсКО</t>
  </si>
  <si>
    <t>Открытый аукцион с квалификационным отбором</t>
  </si>
  <si>
    <t>Открытый редукцион с квалификационным отбором</t>
  </si>
  <si>
    <t>Открытый запрос предложений с квалификационным отбором</t>
  </si>
  <si>
    <t>ОЗПсКО</t>
  </si>
  <si>
    <t>ОЗКсКО</t>
  </si>
  <si>
    <t>Открытый запрос котировок с квалификационным отбором</t>
  </si>
  <si>
    <t>Закрытый конкурс с квалификационным отбором</t>
  </si>
  <si>
    <t>Закрытый аукцион с квалификационным отбором</t>
  </si>
  <si>
    <t>Закрытый редукцион с квалификационным отбором</t>
  </si>
  <si>
    <t>Закрытый запрос предложений с квалификационным отбором</t>
  </si>
  <si>
    <t>Закрытый запрос котировок с квалификационным отбором</t>
  </si>
  <si>
    <t>ЗК</t>
  </si>
  <si>
    <t>ЗКсКО</t>
  </si>
  <si>
    <t>ЗА</t>
  </si>
  <si>
    <t>ЗАсКО</t>
  </si>
  <si>
    <t>ЗРсКО</t>
  </si>
  <si>
    <t>ЗР</t>
  </si>
  <si>
    <t>ЗЗП</t>
  </si>
  <si>
    <t>ЗЗПсКО</t>
  </si>
  <si>
    <t>ЗЗКсКО</t>
  </si>
  <si>
    <t>ЗЗК</t>
  </si>
  <si>
    <t>Квалификационный отбор для серии закупок</t>
  </si>
  <si>
    <t>КОСЗ</t>
  </si>
  <si>
    <t>Перечень организаторов</t>
  </si>
  <si>
    <t>ОАО "РТ-Логистика"</t>
  </si>
  <si>
    <t>ОАО "РТ-Медицина"</t>
  </si>
  <si>
    <t>ООО "РТ-Информ"</t>
  </si>
  <si>
    <t>ООО "РТ-Комплектимпекс"</t>
  </si>
  <si>
    <t>ООО "РТ-Экспо"</t>
  </si>
  <si>
    <t>Сторонний организатор закупки</t>
  </si>
  <si>
    <t>Статус (этап) закупки</t>
  </si>
  <si>
    <t>Наименование контрагента</t>
  </si>
  <si>
    <t>ИНН контрагента</t>
  </si>
  <si>
    <t>ИНН победителя/ЕП</t>
  </si>
  <si>
    <t>Наименование победителя закупки/ЕП</t>
  </si>
  <si>
    <t>Наименование организатора</t>
  </si>
  <si>
    <t>Индивидуальный № квалификационного отбора</t>
  </si>
  <si>
    <t>ОАО "ВО "Технопромэкспорт"</t>
  </si>
  <si>
    <t>Примечание</t>
  </si>
  <si>
    <t>Индивидуальный номер</t>
  </si>
  <si>
    <t>Предмет договора (Наименование закупаемой продукции, работ, услуг)</t>
  </si>
  <si>
    <t>23</t>
  </si>
  <si>
    <t>24</t>
  </si>
  <si>
    <t>Способ закупки (план)</t>
  </si>
  <si>
    <t>Дата заключения договора</t>
  </si>
  <si>
    <t>Экономический эффект</t>
  </si>
  <si>
    <t>В стоимостном выражении</t>
  </si>
  <si>
    <t>В процентном выражении</t>
  </si>
  <si>
    <t>руб.</t>
  </si>
  <si>
    <t>Количество участников, подавших предложения</t>
  </si>
  <si>
    <t>Количество участников, предложения которых были отклонены</t>
  </si>
  <si>
    <t>Цена договора, руб.</t>
  </si>
  <si>
    <t>Реквизиты договора</t>
  </si>
  <si>
    <t>№</t>
  </si>
  <si>
    <t>Для закрытых закупок и закупок по результатам квалификационного отбора для серии закупок</t>
  </si>
  <si>
    <t>Закупка у МСП</t>
  </si>
  <si>
    <t>32</t>
  </si>
  <si>
    <t>29</t>
  </si>
  <si>
    <t>31</t>
  </si>
  <si>
    <t>33</t>
  </si>
  <si>
    <t>34</t>
  </si>
  <si>
    <t>35</t>
  </si>
  <si>
    <t>36</t>
  </si>
  <si>
    <t>37</t>
  </si>
  <si>
    <t>Наличие жалоб по закупке</t>
  </si>
  <si>
    <t>Итого по конкурентным закупкам:</t>
  </si>
  <si>
    <t>% от общего количества</t>
  </si>
  <si>
    <t>%  от общего количества</t>
  </si>
  <si>
    <t>Итого по сторонним организаторам:</t>
  </si>
  <si>
    <t>% от общей суммы закупок</t>
  </si>
  <si>
    <t>Закупки, проводимые сторонними организаторами</t>
  </si>
  <si>
    <t>Форма закупки</t>
  </si>
  <si>
    <t>Электронная</t>
  </si>
  <si>
    <t>Факт</t>
  </si>
  <si>
    <t>Открытый конкурс с КО</t>
  </si>
  <si>
    <t>Открытый аукцион с КО</t>
  </si>
  <si>
    <t>Открытый редукцион с КО</t>
  </si>
  <si>
    <t>Открытый запрос предложений с КО</t>
  </si>
  <si>
    <t>Открытый запрос котировок с КО</t>
  </si>
  <si>
    <t>Закрытый конкурс с КО</t>
  </si>
  <si>
    <t>Закрытый аукцион с КО</t>
  </si>
  <si>
    <t>Закрытый редукцион с КО</t>
  </si>
  <si>
    <t>Закрытый запрос предложений с КО</t>
  </si>
  <si>
    <t>Закрытый запрос котировок с КО</t>
  </si>
  <si>
    <t>КО для серии закупок</t>
  </si>
  <si>
    <t>ОБЩИЙ ИТОГ:</t>
  </si>
  <si>
    <t>Итого по формам закупок:</t>
  </si>
  <si>
    <t>Экономический эффект от закупок организатора
(без учета вознаграждения)</t>
  </si>
  <si>
    <t>Закупка по результатам квалификационного отбора для серии закупок</t>
  </si>
  <si>
    <t>Заказчик</t>
  </si>
  <si>
    <t>ГК "Ростех"</t>
  </si>
  <si>
    <t>6.6.2(32)</t>
  </si>
  <si>
    <t>6.6.2(31)</t>
  </si>
  <si>
    <t>6.6.2(36)</t>
  </si>
  <si>
    <t>6.6.2(9)</t>
  </si>
  <si>
    <t>Дата подведения итогов закупки</t>
  </si>
  <si>
    <t>Сумма предложения победителя, руб. (по протоколу подведения итогов закупки/принятия решения о закупке у ЕП)</t>
  </si>
  <si>
    <t>Дата (дд.мм.гггг)</t>
  </si>
  <si>
    <t>Факт
(мм.гггг)/
(мм.гггг-мм.гггг)</t>
  </si>
  <si>
    <t>Сведения о закупочной деятельности</t>
  </si>
  <si>
    <t>Отчет об исполнении плановых/сводных плановых показателей закупочной деятельности</t>
  </si>
  <si>
    <t>№ п/п</t>
  </si>
  <si>
    <t>Наименование показателя</t>
  </si>
  <si>
    <t>кол-во (шт.)</t>
  </si>
  <si>
    <t>стоимость (руб.)</t>
  </si>
  <si>
    <t>1.1.</t>
  </si>
  <si>
    <t>1.2.</t>
  </si>
  <si>
    <t>1.3.</t>
  </si>
  <si>
    <t>3.1.</t>
  </si>
  <si>
    <t>3.2.</t>
  </si>
  <si>
    <t>3.3.</t>
  </si>
  <si>
    <t>3.4.</t>
  </si>
  <si>
    <t>5.1.</t>
  </si>
  <si>
    <t>5.2.</t>
  </si>
  <si>
    <t>6.1.</t>
  </si>
  <si>
    <t>6.2.</t>
  </si>
  <si>
    <t>7.1.</t>
  </si>
  <si>
    <t>по результатам проведенных конкурентных закупок</t>
  </si>
  <si>
    <t>7.2.</t>
  </si>
  <si>
    <t>по результатам закупки "у единственного поставщика"</t>
  </si>
  <si>
    <t>по которым не было подано ни одной заявки</t>
  </si>
  <si>
    <t>по которым была подана только одна заявка</t>
  </si>
  <si>
    <t>по которым было подано более одной заявки, но по результатам рассмотрения все заявки были отклонены</t>
  </si>
  <si>
    <t xml:space="preserve">по которым было подано более одной заявки, но по результатам рассмотрения была допущена к дальнейшему участию только одна заявка </t>
  </si>
  <si>
    <t>Отчет об исполнении РПЗ/ПЗ, ПЗИП</t>
  </si>
  <si>
    <t>План закупки</t>
  </si>
  <si>
    <t>РПЗ</t>
  </si>
  <si>
    <t>ПЗ</t>
  </si>
  <si>
    <t>ПЗИП</t>
  </si>
  <si>
    <t>Количество принятых решений</t>
  </si>
  <si>
    <t>Количество лотов, по которым приняты решения</t>
  </si>
  <si>
    <t>по результатам закупки «у единственного поставщика» по основаниям п. 6.6.2 Положения о закупке</t>
  </si>
  <si>
    <t>I квартал</t>
  </si>
  <si>
    <t>II квартал</t>
  </si>
  <si>
    <t>III квартал</t>
  </si>
  <si>
    <t>IV квартал</t>
  </si>
  <si>
    <t>Итого по кварталу I</t>
  </si>
  <si>
    <t>Итого по кварталу II</t>
  </si>
  <si>
    <t>Итого по кварталу III</t>
  </si>
  <si>
    <t>Итого по кварталу IV</t>
  </si>
  <si>
    <t>Факт
(мм.гггг)</t>
  </si>
  <si>
    <t>НМЦ, руб.</t>
  </si>
  <si>
    <t>Количество, ед.</t>
  </si>
  <si>
    <t>Плановая корректировка</t>
  </si>
  <si>
    <t>Внеплановая корректировка</t>
  </si>
  <si>
    <t>Итого по кварталу IIII</t>
  </si>
  <si>
    <t>Планируемая сумма расходов в плановом периоде, руб.</t>
  </si>
  <si>
    <t>Сведения о НМЦ договора (цене лота), руб.</t>
  </si>
  <si>
    <t>15.2</t>
  </si>
  <si>
    <t>15.5</t>
  </si>
  <si>
    <t>15.6</t>
  </si>
  <si>
    <t>15.7</t>
  </si>
  <si>
    <t>Реквизиты контракта</t>
  </si>
  <si>
    <t>№, дд.мм.гггг</t>
  </si>
  <si>
    <t>25</t>
  </si>
  <si>
    <t>Стоимостное выражение, руб.</t>
  </si>
  <si>
    <t>на</t>
  </si>
  <si>
    <t>год</t>
  </si>
  <si>
    <t>Год</t>
  </si>
  <si>
    <t xml:space="preserve">Январь </t>
  </si>
  <si>
    <t xml:space="preserve">Февраль </t>
  </si>
  <si>
    <t xml:space="preserve">Март </t>
  </si>
  <si>
    <t xml:space="preserve">Апрель </t>
  </si>
  <si>
    <t xml:space="preserve">Май </t>
  </si>
  <si>
    <t xml:space="preserve">Июнь </t>
  </si>
  <si>
    <t xml:space="preserve">Июль </t>
  </si>
  <si>
    <t xml:space="preserve">Август </t>
  </si>
  <si>
    <t xml:space="preserve">Сентябрь </t>
  </si>
  <si>
    <t xml:space="preserve">Октябрь </t>
  </si>
  <si>
    <t xml:space="preserve">Ноябрь </t>
  </si>
  <si>
    <t xml:space="preserve">Декабрь </t>
  </si>
  <si>
    <t>квартал</t>
  </si>
  <si>
    <t>года</t>
  </si>
  <si>
    <t>Сведения о корректировках РПЗ, ПЗ, ПЗИП</t>
  </si>
  <si>
    <t>Ответственное лицо
(Ф. И. О., e-mail, телефон)</t>
  </si>
  <si>
    <t>ОАО "Оборонпром"</t>
  </si>
  <si>
    <t>АО "Технодинамика"</t>
  </si>
  <si>
    <t>Корпорация</t>
  </si>
  <si>
    <t>Холдинги</t>
  </si>
  <si>
    <t>ОПУ</t>
  </si>
  <si>
    <t>0100</t>
  </si>
  <si>
    <t>0200</t>
  </si>
  <si>
    <t>ОАО "Концерн "Калашников"</t>
  </si>
  <si>
    <t>0300</t>
  </si>
  <si>
    <t>0400</t>
  </si>
  <si>
    <t>0500</t>
  </si>
  <si>
    <t>0600</t>
  </si>
  <si>
    <t>0700</t>
  </si>
  <si>
    <t>0800</t>
  </si>
  <si>
    <t>0900</t>
  </si>
  <si>
    <t>1000</t>
  </si>
  <si>
    <t>1100</t>
  </si>
  <si>
    <t>1200</t>
  </si>
  <si>
    <t>1300</t>
  </si>
  <si>
    <t>1400</t>
  </si>
  <si>
    <t>1500</t>
  </si>
  <si>
    <t>1600</t>
  </si>
  <si>
    <t>0201</t>
  </si>
  <si>
    <t>0301</t>
  </si>
  <si>
    <t>0401</t>
  </si>
  <si>
    <t>0501</t>
  </si>
  <si>
    <t>0601</t>
  </si>
  <si>
    <t>0701</t>
  </si>
  <si>
    <t>0801</t>
  </si>
  <si>
    <t>0901</t>
  </si>
  <si>
    <t>1001</t>
  </si>
  <si>
    <t>1101</t>
  </si>
  <si>
    <t>1201</t>
  </si>
  <si>
    <t>1401</t>
  </si>
  <si>
    <t>1501</t>
  </si>
  <si>
    <t>ОАО "Московский вертолетный завод им. М.Л. Миля"</t>
  </si>
  <si>
    <t>1601</t>
  </si>
  <si>
    <t>0202</t>
  </si>
  <si>
    <t>0302</t>
  </si>
  <si>
    <t>0402</t>
  </si>
  <si>
    <t>0502</t>
  </si>
  <si>
    <t>ОАО "НПП "Рубин"</t>
  </si>
  <si>
    <t>0602</t>
  </si>
  <si>
    <t>0702</t>
  </si>
  <si>
    <t>0802</t>
  </si>
  <si>
    <t>0902</t>
  </si>
  <si>
    <t>1002</t>
  </si>
  <si>
    <t>1102</t>
  </si>
  <si>
    <t>1202</t>
  </si>
  <si>
    <t>1402</t>
  </si>
  <si>
    <t>1502</t>
  </si>
  <si>
    <t>ОАО "Камов"</t>
  </si>
  <si>
    <t>1602</t>
  </si>
  <si>
    <t>ОАО "Сафоновский завод "Гидрометприбор"</t>
  </si>
  <si>
    <t>0203</t>
  </si>
  <si>
    <t>0303</t>
  </si>
  <si>
    <t>0403</t>
  </si>
  <si>
    <t>0503</t>
  </si>
  <si>
    <t>ОАО "МНИИИС"</t>
  </si>
  <si>
    <t>0603</t>
  </si>
  <si>
    <t>0703</t>
  </si>
  <si>
    <t>0803</t>
  </si>
  <si>
    <t>0903</t>
  </si>
  <si>
    <t>1003</t>
  </si>
  <si>
    <t>1103</t>
  </si>
  <si>
    <t>1203</t>
  </si>
  <si>
    <t>1403</t>
  </si>
  <si>
    <t>ОАО "СМПП"</t>
  </si>
  <si>
    <t>1603</t>
  </si>
  <si>
    <t>0204</t>
  </si>
  <si>
    <t>0404</t>
  </si>
  <si>
    <t>0504</t>
  </si>
  <si>
    <t>ОАО "РЗП"</t>
  </si>
  <si>
    <t>0604</t>
  </si>
  <si>
    <t>0804</t>
  </si>
  <si>
    <t>0904</t>
  </si>
  <si>
    <t>1004</t>
  </si>
  <si>
    <t>1104</t>
  </si>
  <si>
    <t>1204</t>
  </si>
  <si>
    <t>1404</t>
  </si>
  <si>
    <t>1504</t>
  </si>
  <si>
    <t>ОАО "Редуктор-ПМ"</t>
  </si>
  <si>
    <t>1604</t>
  </si>
  <si>
    <t>ОАО "Национальный центр технологического перевооружения предприятий оборонно-промышленного комплекса"</t>
  </si>
  <si>
    <t>ОАО "ВНИИ "Сигнал"</t>
  </si>
  <si>
    <t>0205</t>
  </si>
  <si>
    <t>0405</t>
  </si>
  <si>
    <t>0505</t>
  </si>
  <si>
    <t>ОАО "КБ"Луч"</t>
  </si>
  <si>
    <t>0605</t>
  </si>
  <si>
    <t>0805</t>
  </si>
  <si>
    <t>0905</t>
  </si>
  <si>
    <t>1005</t>
  </si>
  <si>
    <t>1105</t>
  </si>
  <si>
    <t>1205</t>
  </si>
  <si>
    <t>1405</t>
  </si>
  <si>
    <t>ОАО "ВСК"</t>
  </si>
  <si>
    <t>1605</t>
  </si>
  <si>
    <t>0206</t>
  </si>
  <si>
    <t>0406</t>
  </si>
  <si>
    <t>0506</t>
  </si>
  <si>
    <t>ОАО "ВНИИ "ЭТАЛОН"</t>
  </si>
  <si>
    <t>0606</t>
  </si>
  <si>
    <t>0806</t>
  </si>
  <si>
    <t>0906</t>
  </si>
  <si>
    <t>1006</t>
  </si>
  <si>
    <t>1106</t>
  </si>
  <si>
    <t>1206</t>
  </si>
  <si>
    <t>1406</t>
  </si>
  <si>
    <t>ОАО "Роствертол"</t>
  </si>
  <si>
    <t>1606</t>
  </si>
  <si>
    <t>0207</t>
  </si>
  <si>
    <t>0407</t>
  </si>
  <si>
    <t>0507</t>
  </si>
  <si>
    <t>ОАО "НИИ "Кулон"</t>
  </si>
  <si>
    <t>0607</t>
  </si>
  <si>
    <t>0807</t>
  </si>
  <si>
    <t>1007</t>
  </si>
  <si>
    <t>1107</t>
  </si>
  <si>
    <t>1207</t>
  </si>
  <si>
    <t>1407</t>
  </si>
  <si>
    <t>ООО "ЦЗЛ ВИ"</t>
  </si>
  <si>
    <t>1607</t>
  </si>
  <si>
    <t>0208</t>
  </si>
  <si>
    <t>0408</t>
  </si>
  <si>
    <t>0508</t>
  </si>
  <si>
    <t>ОАО "ИМЦ Концерна "Вега"</t>
  </si>
  <si>
    <t>0608</t>
  </si>
  <si>
    <t>0808</t>
  </si>
  <si>
    <t>1008</t>
  </si>
  <si>
    <t>1108</t>
  </si>
  <si>
    <t>1208</t>
  </si>
  <si>
    <t>1408</t>
  </si>
  <si>
    <t>ОАО "Новосибирский авиаремонтный завод"</t>
  </si>
  <si>
    <t>1608</t>
  </si>
  <si>
    <t>0209</t>
  </si>
  <si>
    <t>0409</t>
  </si>
  <si>
    <t>0509</t>
  </si>
  <si>
    <t>ОАО "ЧРЗ "Полет"</t>
  </si>
  <si>
    <t>0609</t>
  </si>
  <si>
    <t>0809</t>
  </si>
  <si>
    <t>1009</t>
  </si>
  <si>
    <t>1109</t>
  </si>
  <si>
    <t>1209</t>
  </si>
  <si>
    <t>1409</t>
  </si>
  <si>
    <t>1609</t>
  </si>
  <si>
    <t>0210</t>
  </si>
  <si>
    <t>0410</t>
  </si>
  <si>
    <t>0510</t>
  </si>
  <si>
    <t>ОАО "Опытный завод "Интеграл"</t>
  </si>
  <si>
    <t>0610</t>
  </si>
  <si>
    <t>0810</t>
  </si>
  <si>
    <t>1010</t>
  </si>
  <si>
    <t>1210</t>
  </si>
  <si>
    <t>1410</t>
  </si>
  <si>
    <t>1610</t>
  </si>
  <si>
    <t>ОАО "Ротор"</t>
  </si>
  <si>
    <t>0211</t>
  </si>
  <si>
    <t>0411</t>
  </si>
  <si>
    <t>0511</t>
  </si>
  <si>
    <t>ОАО "НИЦЭВТ"</t>
  </si>
  <si>
    <t>0611</t>
  </si>
  <si>
    <t>0811</t>
  </si>
  <si>
    <t>1011</t>
  </si>
  <si>
    <t>1211</t>
  </si>
  <si>
    <t>1411</t>
  </si>
  <si>
    <t>1611</t>
  </si>
  <si>
    <t>0412</t>
  </si>
  <si>
    <t>0512</t>
  </si>
  <si>
    <t>ОАО "НИИ "Вектор"</t>
  </si>
  <si>
    <t>0612</t>
  </si>
  <si>
    <t>0812</t>
  </si>
  <si>
    <t>1012</t>
  </si>
  <si>
    <t>1212</t>
  </si>
  <si>
    <t>1412</t>
  </si>
  <si>
    <t>1612</t>
  </si>
  <si>
    <t>0413</t>
  </si>
  <si>
    <t>0513</t>
  </si>
  <si>
    <t>ОАО "Завод "Энергия"</t>
  </si>
  <si>
    <t>0613</t>
  </si>
  <si>
    <t>0813</t>
  </si>
  <si>
    <t>1013</t>
  </si>
  <si>
    <t>1213</t>
  </si>
  <si>
    <t>1413</t>
  </si>
  <si>
    <t>1613</t>
  </si>
  <si>
    <t>ОАО "ЦКБА"</t>
  </si>
  <si>
    <t>0214</t>
  </si>
  <si>
    <t>0414</t>
  </si>
  <si>
    <t>0514</t>
  </si>
  <si>
    <t>ОАО "КНИИТМУ"</t>
  </si>
  <si>
    <t>0614</t>
  </si>
  <si>
    <t>0814</t>
  </si>
  <si>
    <t>1014</t>
  </si>
  <si>
    <t>1214</t>
  </si>
  <si>
    <t>1414</t>
  </si>
  <si>
    <t>1614</t>
  </si>
  <si>
    <t>0515</t>
  </si>
  <si>
    <t>ОАО "ДКБА"</t>
  </si>
  <si>
    <t>0615</t>
  </si>
  <si>
    <t>0815</t>
  </si>
  <si>
    <t>1215</t>
  </si>
  <si>
    <t>1415</t>
  </si>
  <si>
    <t>0516</t>
  </si>
  <si>
    <t>ОАО "НИИ "Аргон"</t>
  </si>
  <si>
    <t>0616</t>
  </si>
  <si>
    <t>0816</t>
  </si>
  <si>
    <t>1216</t>
  </si>
  <si>
    <t>1416</t>
  </si>
  <si>
    <t>0517</t>
  </si>
  <si>
    <t>ОАО "МНИРТИ"</t>
  </si>
  <si>
    <t>0617</t>
  </si>
  <si>
    <t>0817</t>
  </si>
  <si>
    <t>1217</t>
  </si>
  <si>
    <t>1417</t>
  </si>
  <si>
    <t>0518</t>
  </si>
  <si>
    <t>ОАО "МРТИ РАН"</t>
  </si>
  <si>
    <t>0618</t>
  </si>
  <si>
    <t>0818</t>
  </si>
  <si>
    <t>1218</t>
  </si>
  <si>
    <t>1418</t>
  </si>
  <si>
    <t>0519</t>
  </si>
  <si>
    <t>ОАО "НИИТАП"</t>
  </si>
  <si>
    <t>0619</t>
  </si>
  <si>
    <t>0819</t>
  </si>
  <si>
    <t>1219</t>
  </si>
  <si>
    <t>1419</t>
  </si>
  <si>
    <t>0520</t>
  </si>
  <si>
    <t>ОАО "СКБ "Топаз"</t>
  </si>
  <si>
    <t>0620</t>
  </si>
  <si>
    <t>0820</t>
  </si>
  <si>
    <t>1420</t>
  </si>
  <si>
    <t>0521</t>
  </si>
  <si>
    <t>ОАО "Концерн "Созвездие"</t>
  </si>
  <si>
    <t>0621</t>
  </si>
  <si>
    <t>0821</t>
  </si>
  <si>
    <t>1421</t>
  </si>
  <si>
    <t>0522</t>
  </si>
  <si>
    <t>ОАО "ВНИИ "Вега"</t>
  </si>
  <si>
    <t>0622</t>
  </si>
  <si>
    <t>0822</t>
  </si>
  <si>
    <t>1422</t>
  </si>
  <si>
    <t>0523</t>
  </si>
  <si>
    <t>ОАО "КБОР"</t>
  </si>
  <si>
    <t>0623</t>
  </si>
  <si>
    <t>0823</t>
  </si>
  <si>
    <t>1423</t>
  </si>
  <si>
    <t>0524</t>
  </si>
  <si>
    <t>ОАО "Алмаз"</t>
  </si>
  <si>
    <t>0624</t>
  </si>
  <si>
    <t>0824</t>
  </si>
  <si>
    <t>1424</t>
  </si>
  <si>
    <t>0525</t>
  </si>
  <si>
    <t>ОАО "ВЦКБ "Полюс"</t>
  </si>
  <si>
    <t>0625</t>
  </si>
  <si>
    <t>0825</t>
  </si>
  <si>
    <t>1425</t>
  </si>
  <si>
    <t>0526</t>
  </si>
  <si>
    <t>ОАО "КПЗ "Каскад"</t>
  </si>
  <si>
    <t>0626</t>
  </si>
  <si>
    <t>0826</t>
  </si>
  <si>
    <t>1426</t>
  </si>
  <si>
    <t>0527</t>
  </si>
  <si>
    <t>ОАО "ТНИИР "Эфир"</t>
  </si>
  <si>
    <t>0627</t>
  </si>
  <si>
    <t>0827</t>
  </si>
  <si>
    <t>1427</t>
  </si>
  <si>
    <t>0528</t>
  </si>
  <si>
    <t>ОАО "КБ"Селена"</t>
  </si>
  <si>
    <t>0628</t>
  </si>
  <si>
    <t>0828</t>
  </si>
  <si>
    <t>1428</t>
  </si>
  <si>
    <t>0529</t>
  </si>
  <si>
    <t>ОАО "НПП "Старт"</t>
  </si>
  <si>
    <t>0629</t>
  </si>
  <si>
    <t>0829</t>
  </si>
  <si>
    <t>1429</t>
  </si>
  <si>
    <t>0530</t>
  </si>
  <si>
    <t>ОАО "ТЗ "Октябрь"</t>
  </si>
  <si>
    <t>0630</t>
  </si>
  <si>
    <t>0830</t>
  </si>
  <si>
    <t>1430</t>
  </si>
  <si>
    <t>0531</t>
  </si>
  <si>
    <t>ОАО "ТЗ "Ревтруд"</t>
  </si>
  <si>
    <t>0631</t>
  </si>
  <si>
    <t>0831</t>
  </si>
  <si>
    <t>1431</t>
  </si>
  <si>
    <t>0532</t>
  </si>
  <si>
    <t>ОАО "НПП "Волна"</t>
  </si>
  <si>
    <t>0632</t>
  </si>
  <si>
    <t>0832</t>
  </si>
  <si>
    <t>1432</t>
  </si>
  <si>
    <t>0533</t>
  </si>
  <si>
    <t>ОАО "НИИССУ"</t>
  </si>
  <si>
    <t>0633</t>
  </si>
  <si>
    <t>0833</t>
  </si>
  <si>
    <t>1433</t>
  </si>
  <si>
    <t>0534</t>
  </si>
  <si>
    <t>ОАО "НИИЭТ"</t>
  </si>
  <si>
    <t>0634</t>
  </si>
  <si>
    <t>0834</t>
  </si>
  <si>
    <t>1434</t>
  </si>
  <si>
    <t>0535</t>
  </si>
  <si>
    <t>ОАО "Завод "Тамбоваппарат"</t>
  </si>
  <si>
    <t>0635</t>
  </si>
  <si>
    <t>0835</t>
  </si>
  <si>
    <t>1435</t>
  </si>
  <si>
    <t>0536</t>
  </si>
  <si>
    <t>ОАО "Рязанский радиозавод"</t>
  </si>
  <si>
    <t>0636</t>
  </si>
  <si>
    <t>0836</t>
  </si>
  <si>
    <t>1436</t>
  </si>
  <si>
    <t>0537</t>
  </si>
  <si>
    <t>ОАО "Янтарь"</t>
  </si>
  <si>
    <t>0637</t>
  </si>
  <si>
    <t>0837</t>
  </si>
  <si>
    <t>1437</t>
  </si>
  <si>
    <t>0538</t>
  </si>
  <si>
    <t>0638</t>
  </si>
  <si>
    <t>0838</t>
  </si>
  <si>
    <t>1438</t>
  </si>
  <si>
    <t>0539</t>
  </si>
  <si>
    <t>ОАО "КРЭМЗ"</t>
  </si>
  <si>
    <t>0639</t>
  </si>
  <si>
    <t>0839</t>
  </si>
  <si>
    <t>1439</t>
  </si>
  <si>
    <t>0540</t>
  </si>
  <si>
    <t>ОАО "Концерн "Системпром"</t>
  </si>
  <si>
    <t>0640</t>
  </si>
  <si>
    <t>0840</t>
  </si>
  <si>
    <t>1440</t>
  </si>
  <si>
    <t>0541</t>
  </si>
  <si>
    <t>ОАО "НИИ "Нептун"</t>
  </si>
  <si>
    <t>0641</t>
  </si>
  <si>
    <t>0841</t>
  </si>
  <si>
    <t>1441</t>
  </si>
  <si>
    <t>0542</t>
  </si>
  <si>
    <t>ОАО "НИИИТ"</t>
  </si>
  <si>
    <t>0642</t>
  </si>
  <si>
    <t>0842</t>
  </si>
  <si>
    <t>1442</t>
  </si>
  <si>
    <t>0543</t>
  </si>
  <si>
    <t>ОАО "НИИ "Масштаб"</t>
  </si>
  <si>
    <t>0643</t>
  </si>
  <si>
    <t>0843</t>
  </si>
  <si>
    <t>1443</t>
  </si>
  <si>
    <t>0544</t>
  </si>
  <si>
    <t>ОАО "НИИ "Рубин"</t>
  </si>
  <si>
    <t>0644</t>
  </si>
  <si>
    <t>0844</t>
  </si>
  <si>
    <t>0545</t>
  </si>
  <si>
    <t>ОАО "НПО "Импульс"</t>
  </si>
  <si>
    <t>0645</t>
  </si>
  <si>
    <t>0845</t>
  </si>
  <si>
    <t>0546</t>
  </si>
  <si>
    <t>ОАО "НПП "Полет"</t>
  </si>
  <si>
    <t>0646</t>
  </si>
  <si>
    <t>0846</t>
  </si>
  <si>
    <t>0547</t>
  </si>
  <si>
    <t>ОАО "НПЦ "Вигстар"</t>
  </si>
  <si>
    <t>0647</t>
  </si>
  <si>
    <t>0847</t>
  </si>
  <si>
    <t>0548</t>
  </si>
  <si>
    <t>0648</t>
  </si>
  <si>
    <t>0848</t>
  </si>
  <si>
    <t>0549</t>
  </si>
  <si>
    <t>0649</t>
  </si>
  <si>
    <t>ОАО "Научно-производственный комплекс "Красная Заря"</t>
  </si>
  <si>
    <t>0650</t>
  </si>
  <si>
    <t>0651</t>
  </si>
  <si>
    <t>ОАО "МКБ Компас"</t>
  </si>
  <si>
    <t>0652</t>
  </si>
  <si>
    <t>0653</t>
  </si>
  <si>
    <t>ОАО "Научно-координаторский центр "Новые технологии"</t>
  </si>
  <si>
    <t>0654</t>
  </si>
  <si>
    <t>0655</t>
  </si>
  <si>
    <t>0656</t>
  </si>
  <si>
    <t>Расширенный план централизованных (консолидированных) закупок</t>
  </si>
  <si>
    <t>Дата открытия доступа к заявкам/вскрытия конвертов</t>
  </si>
  <si>
    <t>по результатам закупки, в соответствии с: п. 7.2.4 Положения о закупке (для заказчиков I группы); п. 7.2.5 Положения о закупке (для заказчиков II группы)</t>
  </si>
  <si>
    <t>на ETPRF.ru</t>
  </si>
  <si>
    <t>на иных электронных торговых площадках</t>
  </si>
  <si>
    <t>по результатам закупок, участниками которых являлись любые участники процедуры закупки, в том числе субъекты МСП</t>
  </si>
  <si>
    <t>6.3.</t>
  </si>
  <si>
    <t>по результатам закупок, которые проводились только для субъектов МСП</t>
  </si>
  <si>
    <t>по результатам закупок, в отношении участников которых было установлено требование о привлечении к исполнению договора субподрядчиков (соисполнителей) из числа субъектов МСП</t>
  </si>
  <si>
    <t>ОАО "Улан-Удэнский авиационный завод"</t>
  </si>
  <si>
    <t>ПАО "Казанский вертолетный завод"</t>
  </si>
  <si>
    <t>ОАО "Кумертауское авиационное производственное предприятие"</t>
  </si>
  <si>
    <t>ОАО "Арсеньевская авиационная компания "Прогресс" им. Н.И. Сазыкина"</t>
  </si>
  <si>
    <t>1615</t>
  </si>
  <si>
    <t>1616</t>
  </si>
  <si>
    <t>1617</t>
  </si>
  <si>
    <t>1618</t>
  </si>
  <si>
    <t>Прочие организации Корпорации</t>
  </si>
  <si>
    <t>Расширенный план закупки товаров (работ, услуг)</t>
  </si>
  <si>
    <t>Код по ОКДП2</t>
  </si>
  <si>
    <t>Код по ОКВЭД2</t>
  </si>
  <si>
    <t>Код по ОКПД2</t>
  </si>
  <si>
    <t>АО "Вертолеты России"</t>
  </si>
  <si>
    <t>АО "Станкопром"</t>
  </si>
  <si>
    <t>ООО "РТ-Страхование"</t>
  </si>
  <si>
    <t>АО "НПО "Высокоточные комплексы"</t>
  </si>
  <si>
    <t>В случае отсутствия организации в представленном списке, код Заказчика такой организации присваивается функцией закупочной деятельности ГК "Ростех" в индивидуальном порядке, по запросу.</t>
  </si>
  <si>
    <t>ООО "РТ-Развитие бизнеса"</t>
  </si>
  <si>
    <t>АО "Концерн "Автоматика"</t>
  </si>
  <si>
    <t>АО "Объединенная двигателестроительная корпорация"</t>
  </si>
  <si>
    <t>АО "Концерн Радиоэлектронные технологии"</t>
  </si>
  <si>
    <t>АО "НПК "Технологии машиностроения"</t>
  </si>
  <si>
    <t>АО "Объединенная приборостроительная компания"</t>
  </si>
  <si>
    <t>АО "Российская электроника"</t>
  </si>
  <si>
    <t>АО "РТ-Авто"</t>
  </si>
  <si>
    <t>АО "Национальная иммунобиологическая компания"</t>
  </si>
  <si>
    <t>АО "РТ-Химические технологии и композиционные материалы"</t>
  </si>
  <si>
    <t>АО "Швабе"</t>
  </si>
  <si>
    <t>6.6.2(39)</t>
  </si>
  <si>
    <t>6.6.2(40)</t>
  </si>
  <si>
    <t>6.6.2(41)</t>
  </si>
  <si>
    <t>6.6.2(42)</t>
  </si>
  <si>
    <t>6.6.2(43)</t>
  </si>
  <si>
    <t>6.6.2(44)</t>
  </si>
  <si>
    <t>6.6.2(45)</t>
  </si>
  <si>
    <t>6.6.2(46)</t>
  </si>
  <si>
    <t>6.6.2(47)</t>
  </si>
  <si>
    <t>6.6.2(48)</t>
  </si>
  <si>
    <t>6.6.2(49)</t>
  </si>
  <si>
    <t>6.6.2(50)</t>
  </si>
  <si>
    <t>1619</t>
  </si>
  <si>
    <t>АО "КБП"</t>
  </si>
  <si>
    <t>АО "ЦНИИАГ"</t>
  </si>
  <si>
    <t>АО "ОПК"</t>
  </si>
  <si>
    <t>АО Концерн радиостроения "Вега"</t>
  </si>
  <si>
    <t>АО "Системы управления"</t>
  </si>
  <si>
    <t>АО "НИИАА им. Академика В. С. Семенихина"</t>
  </si>
  <si>
    <t>ПАО "Информационные телекоммуникационные технологии"</t>
  </si>
  <si>
    <t>ПАО "Институт электронных управляющих машин им. И.С. Брука"</t>
  </si>
  <si>
    <t>АО "ЦНИИ ЭИСУ"</t>
  </si>
  <si>
    <t>АО "НПП "Радиосвязь"</t>
  </si>
  <si>
    <t>АО "Рособоронэкспорт"</t>
  </si>
  <si>
    <t>ООО "РТ-Логистика"</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</si>
  <si>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</si>
  <si>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</si>
  <si>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</si>
  <si>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</si>
  <si>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</si>
  <si>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</si>
  <si>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</si>
  <si>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</si>
  <si>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</si>
  <si>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</si>
  <si>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</si>
  <si>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</si>
  <si>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</si>
  <si>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</si>
  <si>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</si>
  <si>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</si>
  <si>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</si>
  <si>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</si>
  <si>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</si>
  <si>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</si>
  <si>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</si>
  <si>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</si>
  <si>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</si>
  <si>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</si>
  <si>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</si>
  <si>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</si>
  <si>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</si>
  <si>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</si>
  <si>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</si>
  <si>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</si>
  <si>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</si>
  <si>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</si>
  <si>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</si>
  <si>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</si>
  <si>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</si>
  <si>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</si>
  <si>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</si>
  <si>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</si>
  <si>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</si>
  <si>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</si>
  <si>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</si>
  <si>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</si>
  <si>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</si>
  <si>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1301</t>
  </si>
  <si>
    <t>1302</t>
  </si>
  <si>
    <t>1303</t>
  </si>
  <si>
    <t>0304</t>
  </si>
  <si>
    <t>0305</t>
  </si>
  <si>
    <t>0306</t>
  </si>
  <si>
    <t>0307</t>
  </si>
  <si>
    <t>1801</t>
  </si>
  <si>
    <t>1802</t>
  </si>
  <si>
    <t>1803</t>
  </si>
  <si>
    <t>1703</t>
  </si>
  <si>
    <t>1704</t>
  </si>
  <si>
    <t>1708</t>
  </si>
  <si>
    <t>1709</t>
  </si>
  <si>
    <t>1713</t>
  </si>
  <si>
    <t>1714</t>
  </si>
  <si>
    <t>1718</t>
  </si>
  <si>
    <t>Закрытое акционерное общество "ЖЕЛЕЗНОДОРОЖНИК-ПМ</t>
  </si>
  <si>
    <t>Открытое акционерное общество "ЭНЕРГЕТИК-ПЕРМСКИЕ МОТОРЫ</t>
  </si>
  <si>
    <t>Государственная корпорация "Ростех"</t>
  </si>
  <si>
    <t xml:space="preserve">АО "НПО "Высокоточные комплексы" </t>
  </si>
  <si>
    <t>АО "Росэлектроника"</t>
  </si>
  <si>
    <t>АО "Научно-производственный концерн "Технологии машиностроения"</t>
  </si>
  <si>
    <t>АО "ОПК "ОБОРОНПРОМ"</t>
  </si>
  <si>
    <t xml:space="preserve">Общество с ограниченной ответственностью "РТ-СоцСтрой" </t>
  </si>
  <si>
    <t>акционерное общество Башкирское Производственное Объединение "Прогресс"</t>
  </si>
  <si>
    <t>акционерное общество "Внешнеэкономическое объединение "Станкоимпорт"</t>
  </si>
  <si>
    <t>акционерное общество "Научно-исследовательский институт "Гириконд"</t>
  </si>
  <si>
    <t>акционерное общество "Федеральный испытательный исследовательский центр машиностроения"</t>
  </si>
  <si>
    <t>акционерное общество "Научно-исследовательский машиностроительный институт"</t>
  </si>
  <si>
    <t xml:space="preserve">акционерное общество "РТ-Биотехпром" </t>
  </si>
  <si>
    <t>акционерное общество "Государственный оптический институт имени С.И. Вавилова"</t>
  </si>
  <si>
    <t>акционерное общество "Московский машиностроительный экспериментальный завод – композиционные технологии"</t>
  </si>
  <si>
    <t>акционерное общество "Уфимское агрегатное предприятие "Гидравлика"</t>
  </si>
  <si>
    <t>ООО "Промышленный холдинг "Автокомпоненты"</t>
  </si>
  <si>
    <t>акционерное общество "Научно-производственное объединение "Квант"</t>
  </si>
  <si>
    <t>акционерное общество "РТ-Охрана"</t>
  </si>
  <si>
    <t>Открытое акционерное общество "Авиадвигатель"</t>
  </si>
  <si>
    <t>общество с ограниченной ответственностью "Национальный Центр Информатизации"</t>
  </si>
  <si>
    <t>Общество с ограниченной ответственностью "РТ-Череповецкий завод модульных строительных конструкций"</t>
  </si>
  <si>
    <t>АО "КБточмаш им. А.Э.Нудельмана"</t>
  </si>
  <si>
    <t>акционерное общество "Калугаприбор"</t>
  </si>
  <si>
    <t>общество с ограниченной ответственностью "Внешнеэкономическое объединение "Станкоимпорт"</t>
  </si>
  <si>
    <t>акционерное общество "Научно-исследовательский институт газоразрядных приборов "Плазма"</t>
  </si>
  <si>
    <t>акционерное общество "Научно-исследовательский конструкторско-технологический институт двигателей"</t>
  </si>
  <si>
    <t>акционерное общество "Ремонтно-механический завод "Енисей"</t>
  </si>
  <si>
    <t>акционерное общество "Научно-исследовательский институт резиновых полимерных изделий"</t>
  </si>
  <si>
    <t>открытое акционерное общество "Загорский оптико-механический завод"</t>
  </si>
  <si>
    <t>акционерное общество "Уральский научно-исследовательский химический институт с опытным заводом"</t>
  </si>
  <si>
    <t>акционерное общество "Уфимское агрегатное производственное объединение"</t>
  </si>
  <si>
    <t>акционерное общество "Брянский электромеханический завод"</t>
  </si>
  <si>
    <t>закрытое акционерное общество "РТ-Пожарная безопасность"</t>
  </si>
  <si>
    <t>Акционерное общество "Климов"</t>
  </si>
  <si>
    <t>общество с ограниченной ответственностью "РТ-Глобальные ресурсы"</t>
  </si>
  <si>
    <t>акционерное общество "Калужский электромеханический завод"</t>
  </si>
  <si>
    <t>акционерное общество "ВНИИавтогенмаш"</t>
  </si>
  <si>
    <t>акционерное общество "Научно-исследовательский институт материалов электронной техники"</t>
  </si>
  <si>
    <t>акционерное общество "Конструкторское бюро по ремонтным мастерским и автофургонам"</t>
  </si>
  <si>
    <t>открытое акционерное общество "Институт "Пермгипромашпром"</t>
  </si>
  <si>
    <t>акционерное общество "Государственный научно-исследовательский институт биосинтеза белковых веществ"</t>
  </si>
  <si>
    <t>акционерное общество "Национальный центр лазерных систем и комплексов "Астрофизика"</t>
  </si>
  <si>
    <t>акционерное общество "Восточный научно-исследовательский углехимический институт"</t>
  </si>
  <si>
    <t>акционерное общество "Уфимское научно- производственное предприятие "Молния"</t>
  </si>
  <si>
    <t>ООО "Управляющая компания "Верейская 29"</t>
  </si>
  <si>
    <t>акционерное общество "Всероссийский научно-исследовательский институт "Градиент"</t>
  </si>
  <si>
    <t>Открытое акционерное общество "КУЗНЕЦОВ"</t>
  </si>
  <si>
    <t>общество с ограниченной ответственностью "Авиакапитал-Сервис"</t>
  </si>
  <si>
    <t>Акционерное общество "Судостроительный завод "Вымпел"</t>
  </si>
  <si>
    <t>ОАО "НПК КБМ"</t>
  </si>
  <si>
    <t>акционерное общество "Пензенский Научно-исследовательский институт"</t>
  </si>
  <si>
    <t>акционерное общество "Научно-исследовательский институт природных, синтетических алмазов и инструмента"</t>
  </si>
  <si>
    <t>акционерное общество "Рязанский завод металлокерамических приборов"</t>
  </si>
  <si>
    <t>акционерное общество "Центральный институт по проектированию машиностроительных предприятий "Центромашпроект"</t>
  </si>
  <si>
    <t>открытое акционерное общество "Московское производственное объединение "Металлист"</t>
  </si>
  <si>
    <t>акционерное общество "Научно-исследовательский институт "Полюс" им. М.Ф. Стельмаха"</t>
  </si>
  <si>
    <t>акционерное общество "Обнинское научно-производственное предприятие "Технология" им. А.Г.Ромашина"</t>
  </si>
  <si>
    <t>открытое акционерное общество "Иркутский научно-исследовательский институт авиационной технологии и организации производства"</t>
  </si>
  <si>
    <t>акционерное общество "Конструкторское бюро по радиоконтролю, навигации и связи"</t>
  </si>
  <si>
    <t>Открытое акционерное общество "Научно-производственное объединение "Сатурн"</t>
  </si>
  <si>
    <t>Акционерное общество "Банк "Российская финансовая корпорация"</t>
  </si>
  <si>
    <t>акционерное общество Пензенское производственное объединение "Электроприбор"</t>
  </si>
  <si>
    <t>открытое акционерное общество "Научно-исследовательский проектно-технологический институт "МИКРОН"</t>
  </si>
  <si>
    <t>акционерное общество "Российский научно-исследовательский институт "Электронстандарт"</t>
  </si>
  <si>
    <t>акционерное общество "Центральное конструкторско-технологическое бюро полимерных материалов с опытным производством"</t>
  </si>
  <si>
    <t>акционерное общество "Кожа"</t>
  </si>
  <si>
    <t>акционерное общество "Научно-исследовательский и технологический институт оптического материаловедения Всероссийского научного центра "Государственный оптический институт им. С.И. Вавилова"</t>
  </si>
  <si>
    <t>общество с ограниченной ответственностью "Хим-Трейд"</t>
  </si>
  <si>
    <t>акционерное общество "Научно-производственное предприятие "Респиратор"</t>
  </si>
  <si>
    <t>акционерное общество "Калужский завод радиотехнической аппаратуры"</t>
  </si>
  <si>
    <t>Открытое акционерное общество "СТАР"</t>
  </si>
  <si>
    <t>Открытое акционерное общество "ПРОМПОСТАВКА"</t>
  </si>
  <si>
    <t>ОАО "Вольский механический завод"</t>
  </si>
  <si>
    <t>акционерное общество "Уфимский завод микроэлектроники Магнетрон"</t>
  </si>
  <si>
    <t>акционерное общество "Омский опытно-промышленный завод "Нефтехимавтоматика"</t>
  </si>
  <si>
    <t>акционерное общество "Научно-исследовательский институт "Феррит-Домен"</t>
  </si>
  <si>
    <t>акционерное общество "Новосибирский механический завод "Искра"</t>
  </si>
  <si>
    <t>открытое акционерное общество "Колюбакинский игольный завод"</t>
  </si>
  <si>
    <t>акционерное общество "Научно-производственное объединение "Государственный институт прикладной оптики"</t>
  </si>
  <si>
    <t>акционерное общество "Государственный ордена Трудового Красного Знамени научно-исследовательский институт химии и технологии элементоорганических соединений"</t>
  </si>
  <si>
    <t>акционерное общество "Уфимский проектно-конструкторский институт авиационной промышленности "Уфаавиапроект"</t>
  </si>
  <si>
    <t>акционерное общество "Калужский научно-исследовательский радиотехнический институт"</t>
  </si>
  <si>
    <t>Открытое акционерное общество "Уфимское моторостроительное производственное объединение"</t>
  </si>
  <si>
    <t>Общество с ограниченной ответственностью "РТ-ТехСервис"</t>
  </si>
  <si>
    <t>ОАО "Саратовский агрегатный завод"</t>
  </si>
  <si>
    <t>акционерное общество "Научно-производственное предприятие "Сигнал"</t>
  </si>
  <si>
    <t>открытое акционерное общество "РТ-Станкоинструмент"</t>
  </si>
  <si>
    <t>акционерное общество "Центральный научно-исследовательский институт измерительной аппаратуры"</t>
  </si>
  <si>
    <t>акционерное общество "Ордена Трудового Красного Знамени специальный научно-исследовательский и проектный институт "СоюзпромНИИпроект"</t>
  </si>
  <si>
    <t>акционерное общество "Научно-производственное объединение "Оптика"</t>
  </si>
  <si>
    <t>акционерное общество "Научно-исследовательский институт синтетического волокна с экспериментальным заводом"</t>
  </si>
  <si>
    <t>акционерное общество "Публичное акционерное общество "Электропривод"</t>
  </si>
  <si>
    <t>акционерное общество "Научно-исследовательский институт "Экран"</t>
  </si>
  <si>
    <t>Открытое акционерное общество "Московское машиностроительное предприятие имени В.В. Чернышева"</t>
  </si>
  <si>
    <t>Общество с ограниченной ответственностью "РТ-Энергоэффективность"</t>
  </si>
  <si>
    <t>общество с ограниченной ответственностью "Савеловский машиностроительный завод"</t>
  </si>
  <si>
    <t>закрытое акционерное общество "Торговый дом "РОСЭЛ"</t>
  </si>
  <si>
    <t>открытое акционерное общество "Центральное научно-конструкторское бюро"</t>
  </si>
  <si>
    <t>акционерное общество "Производственное объединение "Уральский оптико-механический завод" имени Э.С. Яламова"</t>
  </si>
  <si>
    <t>акционерное общество "Всероссийский научно-исследовательский институт токов высокой частоты имени В.П.Вологдина"</t>
  </si>
  <si>
    <t>акционерное общество "Ульяновский государственный проектно-конструкторский институт авиационной промышленности"</t>
  </si>
  <si>
    <t>акционерное общество "Научно-исследовательский институт специальных информационно-измерительных систем"</t>
  </si>
  <si>
    <t>Открытое акционерное общество "ОДК-газовые турбины"</t>
  </si>
  <si>
    <t>Открытое акционерное общество "ТЕВИС"</t>
  </si>
  <si>
    <t>ОАО "Серпуховский завод "Металлист"</t>
  </si>
  <si>
    <t>открытое акционерное общество "ВНИИИНСТРУМЕНТ"</t>
  </si>
  <si>
    <t>открытое акционерное общество "РЭ комплексные системы"</t>
  </si>
  <si>
    <t>открытое акционерное общество "Федеральный научно-технический центр "Информхиммаш"</t>
  </si>
  <si>
    <t>акционерное общество "Швабе – Исследования"</t>
  </si>
  <si>
    <t>открытое акционерное общество "ВНЕШНЕЭКОНОМИЧЕСКОЕ ОБЪЕДИНЕНИЕ "СОЮЗХИМЭКСПОРТ"</t>
  </si>
  <si>
    <t>открытое акционерное общество "Московский завод электромеханизмов"</t>
  </si>
  <si>
    <t>открытое акционерное общество "Микротехника"</t>
  </si>
  <si>
    <t>ОАО "356  авиационный ремонтный завод"</t>
  </si>
  <si>
    <t>Акционерное общество "Научно-производственное предприятие "МОТОР"</t>
  </si>
  <si>
    <t>Открытое акционерное общество "Тольяттинская энергосбытовая компания"</t>
  </si>
  <si>
    <t>ОАО "СКБ "Турбина"</t>
  </si>
  <si>
    <t>общество с ограниченной ответственностью "Завод индустриальных покрытий"</t>
  </si>
  <si>
    <t>открытое акционерное общество Центральный научно-исследовательский институт "Электрон"</t>
  </si>
  <si>
    <t>открытое акционерное общество "Расчет"</t>
  </si>
  <si>
    <t>акционерное общество "Швабе – Оборона и Защита"</t>
  </si>
  <si>
    <t>открытое акционерное общество "Научно-исследовательский институт текстильных материалов"</t>
  </si>
  <si>
    <t>публичное акционерное общество "Брянское специальное конструкторское бюро"</t>
  </si>
  <si>
    <t>ОАО "419 авиационный ремонтный завод"</t>
  </si>
  <si>
    <t>Общество с ограниченной ответственностью "Внешнеэкономическое объединение "Технопромэкспорт"</t>
  </si>
  <si>
    <t>открытое акционерное общество "Всероссийский научно-исследовательский проектно-конструкторский и технологический институт электромашиностроения"</t>
  </si>
  <si>
    <t>открытое акционерное общество "Центральный научно-исследовательский институт  "Циклон"</t>
  </si>
  <si>
    <t>открытое акционерное общество "Бийское производственное объединение "Сибприбормаш"</t>
  </si>
  <si>
    <t>акционерное общество "Швабе – Приборы"</t>
  </si>
  <si>
    <t>акционерное общество "Ленинградский Северный завод"</t>
  </si>
  <si>
    <t xml:space="preserve"> акционерное общество "Телевизионный завод "Садко"</t>
  </si>
  <si>
    <t>ОАО "810 авиационный ремонтный завод"</t>
  </si>
  <si>
    <t>Закрытое акционерное общество "Моторсервис-ПМ"</t>
  </si>
  <si>
    <t>Общество с ограниченной ответственностью "РТ-Энергоактив"</t>
  </si>
  <si>
    <t>акционерное общество "РЭМОС-Пермские моторы"</t>
  </si>
  <si>
    <t>открытое акционерное общество "Научно-исследовательский институт электронных приборов"</t>
  </si>
  <si>
    <t>акционерное общество "Техмашсервис"</t>
  </si>
  <si>
    <t>акционерное общество "Швабе – Технологическая лаборатория"</t>
  </si>
  <si>
    <t>акционерное общество "Научно-исследовательский институт парашютостроения"</t>
  </si>
  <si>
    <t>акционерное общество "Научно-производственное объединение "Радиоэлектроника" им.В.И.Шимко"</t>
  </si>
  <si>
    <t>ОАО "12 Авиационный ремонтный завод"</t>
  </si>
  <si>
    <t>АО "Акционерное общество "Калининградский янтарный комбинат"</t>
  </si>
  <si>
    <t>акционерное общество "Ульяновский научно-исследовательский институт авиационной технологии и организации производства"</t>
  </si>
  <si>
    <t>акционерное общество "Научно-исследовательский институт радиокомпонентов"</t>
  </si>
  <si>
    <t>открытое акционерное общество "Научно-производственное предприятие "Темп"</t>
  </si>
  <si>
    <t>акционерное общество "Швабе – Фотоприбор"</t>
  </si>
  <si>
    <t>акционерное общество "Авиационно-сервисный центр  "Авиационное оборудование"</t>
  </si>
  <si>
    <t>акционерное общество "Казанское приборостроительное конструкторское бюро"</t>
  </si>
  <si>
    <t>ОАО  "150 авиационный ремонтный завод"</t>
  </si>
  <si>
    <t>Открытое акционерное общество "Пермский Моторный Завод"</t>
  </si>
  <si>
    <t>Акционерное общество "Янтарный Ювелирпром"</t>
  </si>
  <si>
    <t>акционерное общество "Инструментальный завод-Пермские моторы"</t>
  </si>
  <si>
    <t>акционерное общество "Нижегородский институт технологии и организации производства"</t>
  </si>
  <si>
    <t>открытое акционерное общество "Испытательно-контрактное предприятие "РИТМ"</t>
  </si>
  <si>
    <t>открытое акционерное общество "Швабе – Фотосистемы"</t>
  </si>
  <si>
    <t>акционерное общество "Котласский электромеханический завод"</t>
  </si>
  <si>
    <t>акционерное общество "Научно-исследовательский институт развития соединителей и изделий специальной электроники"</t>
  </si>
  <si>
    <t xml:space="preserve"> ОАО "99 завод авиационного технологического оборудования"</t>
  </si>
  <si>
    <t>Общество с ограниченной ответственностью "Международный инженерный центр объединенной двигателестроительной корпорации"</t>
  </si>
  <si>
    <t>Открытое акционерное общество "Русскристалл"</t>
  </si>
  <si>
    <t>акционерное общество "Оптрон"</t>
  </si>
  <si>
    <t>акционерное общество "Чебоксарское производственное объединение имени В.И.Чапаева"</t>
  </si>
  <si>
    <t>акционерное общество "Авиаагрегат"</t>
  </si>
  <si>
    <t>открытое акционерное общество "Научно – производственный центр "САПСАН"</t>
  </si>
  <si>
    <t>Общество с ограниченной ответственностью "Центр технологической компетенции "Лопатки газотурбинных двигателей"</t>
  </si>
  <si>
    <t>ОАО "Центральный научно-исследовательский институт точного машиностроения"</t>
  </si>
  <si>
    <t>открытое акционерное общество "Богородицкий завод технохимических изделий"</t>
  </si>
  <si>
    <t>открытое акционерное общество "Кемеровский механический завод"</t>
  </si>
  <si>
    <t>открытое акционерное общество "Машиностроительный завод "Маяк"</t>
  </si>
  <si>
    <t>акционерное общество "Автоматика"</t>
  </si>
  <si>
    <t>Акционерное общество "570 авиационный ремонтный завод"</t>
  </si>
  <si>
    <t>Открытое акционерное общество "КБАЛ им. Л.Н.Кошкина"</t>
  </si>
  <si>
    <t>закрытое акционерное общество "Новые технологии света"</t>
  </si>
  <si>
    <t>акционерное общество "Ленинградский механический завод имени Карла Либкнехта"</t>
  </si>
  <si>
    <t>акционерное общество "Научно-производственное предприятие "Старт" им. А.И. Яскина"</t>
  </si>
  <si>
    <t>открытое акционерное общество "Томское производственное объединение "Контур"</t>
  </si>
  <si>
    <t>Открытое акционерное общество "218 авиационный ремонтный завод"</t>
  </si>
  <si>
    <t>ООО "Проминвест"</t>
  </si>
  <si>
    <t>открытое акционерное общество "РЗМ-технологии"</t>
  </si>
  <si>
    <t>акционерное общество "Научно-исследовательский инженерный институт"</t>
  </si>
  <si>
    <t>открытое акционерное общество "Концерн "Авиационное оборудование"</t>
  </si>
  <si>
    <t>открытое акционерное общество "Казанский научно-исследовательский технологический институт вычислительной техники"</t>
  </si>
  <si>
    <t>Открытое акционерное общество "712 авиационный ремонтный завод"</t>
  </si>
  <si>
    <t>Открытое акционерное общество "Управляющая компания "Проминвест"</t>
  </si>
  <si>
    <t>акционерное общество "Германий"</t>
  </si>
  <si>
    <t>акционерное общество "Государственный научно-исследовательский институт "Кристалл"</t>
  </si>
  <si>
    <t>открытое акционерное общество "Московский конструкторско-производственный комплекс "Универсал"</t>
  </si>
  <si>
    <t>акционерное общество "Радиоприборснаб"</t>
  </si>
  <si>
    <t>ООО "ВР Литейное производство"</t>
  </si>
  <si>
    <t>Общество с ограниченной ответственностью "РТ-Логистические системы"</t>
  </si>
  <si>
    <t>акционерное общество  "КБ "Икар"</t>
  </si>
  <si>
    <t>акционерное общество "Красноармейский научно-исследовательский институт механизации"</t>
  </si>
  <si>
    <t>открытое акционерное общество "Научно-технический центр системы и средства государственного опознавания"</t>
  </si>
  <si>
    <t>акционерное общество "Научно-исследовательский институт полупроводниковых приборов"</t>
  </si>
  <si>
    <t xml:space="preserve">акционерное общество "Завод "Пластмасс" </t>
  </si>
  <si>
    <t>акционерное общество "Нижегородское научно-производственное объединение имени М.В. Фрунзе"</t>
  </si>
  <si>
    <t>Общество с ограниченной ответственностью "РТЛ-Таможенный оператор"</t>
  </si>
  <si>
    <t>акционерное общество  "Завод полупроводниковых приборов"</t>
  </si>
  <si>
    <t>акционерное общество "Химический завод "Планта"</t>
  </si>
  <si>
    <t>открытое акционерное общество "Федеральный научно-производственный центр "Нижегородский научно-исследовательский приборостроительный институт "Кварц" имени А.П. Горшкова"</t>
  </si>
  <si>
    <t>Акционерное общество "Электронный паспорт"</t>
  </si>
  <si>
    <t>акционерное общество "Научно-производственное объединение "Пульсар"</t>
  </si>
  <si>
    <t>акционерное общество "Научно-производственное объединение "Прибор"</t>
  </si>
  <si>
    <t>акционерное общество "Специальное конструкторское бюро радиоизмерительной аппаратуры"</t>
  </si>
  <si>
    <t>акционерное общество  "Научно-производственное предприятие "Циклон-Тест"</t>
  </si>
  <si>
    <t>акционерное общество "Научно-производственное предприятие "Краснознаменец"</t>
  </si>
  <si>
    <t xml:space="preserve"> акционерное общество "Курский Завод "Маяк"</t>
  </si>
  <si>
    <t>Общество с ограниченной ответственностью "Русское Стрелковое оружие"</t>
  </si>
  <si>
    <t>акционерное общество  "Научно-производственное предприятие "Восток"</t>
  </si>
  <si>
    <t>акционерное общество "Научно-исследовательский институт полимерных материалов"</t>
  </si>
  <si>
    <t>акционерное общество "Ульяновский центр микроэлектроники и автоматизации"</t>
  </si>
  <si>
    <t>Общество с ограниченной ответственностью "РИФМЕТ ПРО"</t>
  </si>
  <si>
    <t>акционерное общество "Государственный завод "Пульсар"</t>
  </si>
  <si>
    <t>акционерное общество "Научно-исследовательский институт электронных приборов"</t>
  </si>
  <si>
    <t>акционерное общество "Конструкторское бюро завода "Россия"</t>
  </si>
  <si>
    <t>Общество с ограниченной ответственностью "Управляемые модели Про"</t>
  </si>
  <si>
    <t>акционерное общество "Новосибирский завод радиодеталей "Оксид"</t>
  </si>
  <si>
    <t>акционерное общество "Научно-производственное объединение "СПЛАВ"</t>
  </si>
  <si>
    <t>открытое акционерное общество "Научно-исследовательское и опытно-конструкторское предприятие "Планета"</t>
  </si>
  <si>
    <t>Открытое акционерное общество "Омский институт системотехники"</t>
  </si>
  <si>
    <t>акционерное общество  "Научно-исследовательский институт "Платан" с заводом при НИИ"</t>
  </si>
  <si>
    <t>открытое акционерное общество "Федеральный научно-производственный центр "Научно- исследовательский институт прикладной химии"</t>
  </si>
  <si>
    <t xml:space="preserve">акционерное общество "Научно-производственная компания "РИТМ" </t>
  </si>
  <si>
    <t>Открытое акционерное общество "Промышленные технологии"</t>
  </si>
  <si>
    <t>акционерное общество "Научно-производственное предприятие "Контакт"</t>
  </si>
  <si>
    <t>акционерное общество "Муромский приборостроительный завод"</t>
  </si>
  <si>
    <t>открытое акционерное общество "Концерн "Авиаприборостроение" </t>
  </si>
  <si>
    <t>Открытое акционерное общество "Внешнеэкономическое объединение "Технопромэкспорт"</t>
  </si>
  <si>
    <t>открытое акционерное общество "Научно-производственное предприятие "Салют"</t>
  </si>
  <si>
    <t>акционерное общество "Научно-исследовательский технологический институт имени П.И.Снегирева"</t>
  </si>
  <si>
    <t>акционерное общество "Научно-исследовательский институт авиационного оборудования"</t>
  </si>
  <si>
    <t>Открытое акционерное общество "Внешнеэкономическое объединение "Тяжпромэкспорт"</t>
  </si>
  <si>
    <t>акционерное общество  "Омега"</t>
  </si>
  <si>
    <t>акционерное общество "Новосибирский завод искусственного волокна"</t>
  </si>
  <si>
    <t>акционерное общество "Инженерное сопровождение испытаний "Взлет"</t>
  </si>
  <si>
    <t>Открытое акционерное общество "Государственный научно-исследовательский проектный и конструкторский институт горного дела и металлургии цветных металлов"</t>
  </si>
  <si>
    <t>акционерное общество  "Специальное конструкторско-технологическое бюро по релейной технике"</t>
  </si>
  <si>
    <t>акционерное общество "Производственное объединение "Завод имени Серго"</t>
  </si>
  <si>
    <t>акционерное общество "Государственный Рязанский приборный завод" </t>
  </si>
  <si>
    <t>Общество  с ограниченной ответственностью  "Автоград-Водоканал"</t>
  </si>
  <si>
    <t>акционерное общество  "Внешнеэкономическое объединение "Радиоэкспорт"</t>
  </si>
  <si>
    <t>открытое акционерное общество "Научно-производственное предприятие "Дельта"</t>
  </si>
  <si>
    <t>акционерное общество "Опытно-конструкторское бюро "Электроавтоматика" имени П.А. Ефимова</t>
  </si>
  <si>
    <t>Открытое акционерное общество "Нефтегазавтоматика"</t>
  </si>
  <si>
    <t>акционерное общество "Научно-исследовательский институт программных средств"</t>
  </si>
  <si>
    <t>открытое акционерное общество "Верхнетуринский машиностроительный завод"</t>
  </si>
  <si>
    <t>акционерное общество "Уфимское приборостроительное производственное объединение"</t>
  </si>
  <si>
    <t>Открытое акционерное общество "Авиатехприемка"</t>
  </si>
  <si>
    <t>акционерное общество "Информакустика"</t>
  </si>
  <si>
    <t>акционерное общество "Серовский механический завод"</t>
  </si>
  <si>
    <t>акционерное общество "Жигулевский радиозавод"</t>
  </si>
  <si>
    <t>Открытое акционерное общество "Стрелковые комплексы"</t>
  </si>
  <si>
    <t>акционерное общество "Специальное проектно-конструкторское бюро средств управления"</t>
  </si>
  <si>
    <t>открытое акционерное общество "Завод имени М.И. Калинина"</t>
  </si>
  <si>
    <t>акционерное общество "Концерн "Авионика"</t>
  </si>
  <si>
    <t>Общество с ограниченной ответственностью "РТ-Капитал"</t>
  </si>
  <si>
    <t>акционерное общество "Новосибирский завод полупроводниковых приборов с ОКБ"</t>
  </si>
  <si>
    <t>акционерное общество "Брянский химический завод имени 50-летия СССР"</t>
  </si>
  <si>
    <t>акционерное общество "Корпорация "Аэрокосмическое оборудование"</t>
  </si>
  <si>
    <t>Закрытое акционерное общество "ЭйрЮнион"</t>
  </si>
  <si>
    <t>акционерное общество "Научно-исследовательский институт микроэлектронной аппаратуры "Прогресс"</t>
  </si>
  <si>
    <t>открытое акционерное общество "Машиностроительный завод "Штамп" имени Б.Л. Ванникова"</t>
  </si>
  <si>
    <t>акционерное общество "Научно-производственное предприятие "ЭлТом"</t>
  </si>
  <si>
    <t>Открытое акционерное общество "Транспортно-выставочный комплекс "Россия"</t>
  </si>
  <si>
    <t>акционерное общество "Научно-исследовательский институт средств вычислительной техники"</t>
  </si>
  <si>
    <t>открытое акционерное общество "Нижнеломовский электромеханический завод"</t>
  </si>
  <si>
    <t>открытое акционерное общество "Конструкторское бюро автоматических систем"</t>
  </si>
  <si>
    <t>Акционерное общество "Институт по проектированию резиновой промышленности"</t>
  </si>
  <si>
    <t>акционерное общество "Центральное конструкторское бюро специальных радиоматериалов"</t>
  </si>
  <si>
    <t>открытое акционерное общество "Сигнал"</t>
  </si>
  <si>
    <t>акционерное общество "Владыкинский механический завод" </t>
  </si>
  <si>
    <t>Открытое акционерное общество "Научно-исследовательский институт медицинских полимеров"</t>
  </si>
  <si>
    <t>акционерное общество "Калужский завод телеграфной аппаратуры"</t>
  </si>
  <si>
    <t>акционерное общество "Научно-производственное объединение  "Базальт"</t>
  </si>
  <si>
    <t>закрытое акционерное общество "Ф-Финанс"</t>
  </si>
  <si>
    <t>Открытое акционерное общество "Научно-исследовательский учебный центр новых технологий и материалов АТОМ"</t>
  </si>
  <si>
    <t>акционерное общество "Специальное конструкторское бюро вычислительной техники"</t>
  </si>
  <si>
    <t>открытое акционерное общество "Соликамский завод "Урал"</t>
  </si>
  <si>
    <t>закрытое акционерное общество "Ф-Капитал"</t>
  </si>
  <si>
    <t>Общество с ограниченной ответственностью "RT-INVESTMENT Sarl"</t>
  </si>
  <si>
    <t>акционерное общество "Научно-производственное предприятие теплофизического приборостроения "ОСТЕРМ СПБ"</t>
  </si>
  <si>
    <t>акционерное общество "Ново-Вятка"</t>
  </si>
  <si>
    <t>акционерное общество "Ростовский завод "Прибор"</t>
  </si>
  <si>
    <t>Общество с ограниченной ответственностью "Региональная авиация"</t>
  </si>
  <si>
    <t>акционерное общество Научно-исследовательский институт промышленного телевидения "Растр"</t>
  </si>
  <si>
    <t>открытое акционерное общество "Нововятский механический завод"</t>
  </si>
  <si>
    <t>Общество с ограниченной ответственностью "РТ-Экспо"</t>
  </si>
  <si>
    <t>открытое акционерное общество "Научно-исследовательский информационный вычислительный центр "Контакт"</t>
  </si>
  <si>
    <t>открытое акционерное общество "Саратовский завод приборных устройств"</t>
  </si>
  <si>
    <t xml:space="preserve"> Акционерное общество "Нижегородский научно-технический центр программных средств вычислительной техники"</t>
  </si>
  <si>
    <t>акционерное общество "Фрязинское специализированное строительно-монтажное управление"</t>
  </si>
  <si>
    <t>акционерное общество "Научно-производственное объединение "Поиск"</t>
  </si>
  <si>
    <t xml:space="preserve"> Акционерное общество "Центр авиационной медицины"</t>
  </si>
  <si>
    <t>акционерное общество "Электрон – Оптроник"</t>
  </si>
  <si>
    <t>акционерное общество "Алексинский опытный механический завод"</t>
  </si>
  <si>
    <t xml:space="preserve"> Акционерное общество "Центральная больница экспертизы летно-испытательного состава"</t>
  </si>
  <si>
    <t>акционерное общество "Спецмагнит"</t>
  </si>
  <si>
    <t>акционерное общество "Краснозаводский химический завод"</t>
  </si>
  <si>
    <t>Открытое акционерное общество "РТ-Металлургия"</t>
  </si>
  <si>
    <t>акционерное общество "Научно-исследовательский и проектно-технологический институт электроугольных изделий"</t>
  </si>
  <si>
    <t>Открытое акционерное общество "Всероссийский научно-исследовательский институт по осушению месторождений полезных ископаемых, защите инженерных сооружений от обводнения, специальным горным работам, геомеханике, геофизике, гидротехнике, геологии и маркшейдерскому делу"</t>
  </si>
  <si>
    <t>акционерное общество "Завод "Марс"</t>
  </si>
  <si>
    <t xml:space="preserve"> Акционерное общество "Главный информационно-вычислительный центр металлургии "Центринформ"</t>
  </si>
  <si>
    <t>акционерное общество "Центральное конструкторское бюро "Дейтон"</t>
  </si>
  <si>
    <t>Открытое акционерное общество "Проектно-конструкторское бюро металлургической теплотехники и энерготехнологии цветной металлургии"</t>
  </si>
  <si>
    <t>акционерное общество "Омский приборостроительный ордена Трудового Красного Знамени завод им. Н.Г.Козицкого"</t>
  </si>
  <si>
    <t>Открытое акционерное общество "Щербинская типография"</t>
  </si>
  <si>
    <t>акционерное общество "Внешнеторговое объединение "Электронинторг"</t>
  </si>
  <si>
    <t>Открытое акционерное общество "90 экспериментальный завод"</t>
  </si>
  <si>
    <t>открытое акционерное общество "Саратовэлектронпроект"</t>
  </si>
  <si>
    <t>Открытое акционерное общество "Проектмашдеталь"</t>
  </si>
  <si>
    <t>открытое акционерное общество "Гран"</t>
  </si>
  <si>
    <t>Открытое акционерное общество "Самарский электромеханический завод"</t>
  </si>
  <si>
    <t>открытое акционерное общество "Научно-исследовательский институт электронных материалов"</t>
  </si>
  <si>
    <t>АО "Солнечногорский приборный завод"</t>
  </si>
  <si>
    <t>Открытое акционерное общество "Томский радиотехнический завод"</t>
  </si>
  <si>
    <t>открытое акционерное общество "Разряд"</t>
  </si>
  <si>
    <t>Открытое акционерное общество "Металлист"</t>
  </si>
  <si>
    <t>открытое акционерное общество "Алагирский завод сопротивлений"</t>
  </si>
  <si>
    <t>Открытое акционерное общество "Промимпекс"</t>
  </si>
  <si>
    <t>открытое акционерное общество "Научно-исследовательский институт электронно-механических приборов"</t>
  </si>
  <si>
    <t>Открытое акционерное общество "Ремонтно-строительное специализированное управление металлургии"</t>
  </si>
  <si>
    <t>открытое акционерное общество "Генеральная дирекция строительства "Электрон"</t>
  </si>
  <si>
    <t>Открытое акционерное общество "Экономика и технология цветных металлов"</t>
  </si>
  <si>
    <t>акционерное общество "Институт точной технологии и проектирования"</t>
  </si>
  <si>
    <t>Открытое акционерное общество "Сибтекстильмаш. Спецтехника. Сервис"</t>
  </si>
  <si>
    <t>открытое акционерное общество "Научно-исследовательский институт машиностроения"</t>
  </si>
  <si>
    <t>Открытое акционерное общество "Специальное конструкторско-технологическое бюро радиооборудования"</t>
  </si>
  <si>
    <t>открытое акционерное общество "Научно-производственное объединение "Бином"</t>
  </si>
  <si>
    <t>Открытое акционерное общество "Авиапромналадка"</t>
  </si>
  <si>
    <t>открытое акционерное общество "Топаз"</t>
  </si>
  <si>
    <t>Открытое акционерное общество "Научно-производственная организация технологии и специального технологического оборудования"</t>
  </si>
  <si>
    <t>акционерное общество "Научно-производственный центр "Ригель"</t>
  </si>
  <si>
    <t>Открытое акционерное общество "Перовский опытный завод "Нестандартмаш"</t>
  </si>
  <si>
    <t>акционерное общество "Научно-производственное предприятие "Исток" имени А.И. Шокина"</t>
  </si>
  <si>
    <t>Открытое акционерное общество "Ресурсная фирма "Станкоснаб"</t>
  </si>
  <si>
    <t>открытое акционерное общество "Научно-производственное предприятие "Пульсар"</t>
  </si>
  <si>
    <t>Открытое акционерное общество  "Техмашкомплекс"</t>
  </si>
  <si>
    <t>открытое акционерное общество "Научно-исследовательский институт вакуумной техники им. С.А.Векшинского"</t>
  </si>
  <si>
    <t xml:space="preserve">Открытое акционерное общество "Техника и технология товаров" </t>
  </si>
  <si>
    <t>открытое акционерное общество "Научно-исследовательский институт "Волга"</t>
  </si>
  <si>
    <t>Общество с ограниченной ответственностью "РТ-Комплектимпекс"</t>
  </si>
  <si>
    <t>акционерное общество "Научно-производственное предприятие "Алмаз"</t>
  </si>
  <si>
    <t>Открытое акционерное общество "Волгоградхимреактив"</t>
  </si>
  <si>
    <t>открытое акционерное общество "Концерн "Орион"</t>
  </si>
  <si>
    <t>Открытое акционерное общество "Оргминудобрения"</t>
  </si>
  <si>
    <t>открытое акционерное общество "Октава"</t>
  </si>
  <si>
    <t>Акционерное общество "Научно-исследовательский и проектно-конструкторский институт электроагрегатов и передвижных электростанций с опытным производством"</t>
  </si>
  <si>
    <t>открытое акционерное общество "Научно-исследовательский институт специальных систем связи "Интеграл"</t>
  </si>
  <si>
    <t>Акционерное общество "Научно-технический комплекс Ленэлектронмаш"</t>
  </si>
  <si>
    <t>открытое акционерное общество "Концерн "Сириус"</t>
  </si>
  <si>
    <t>Открытое акционерное общество "Научно-исследовательский институт автоматических приборов"</t>
  </si>
  <si>
    <t>открытое акционерное общество "Институт радиовещательного приема и акустики имени А.С. Попова"</t>
  </si>
  <si>
    <t>Акционерное общество "РТ-Строительные технологии"</t>
  </si>
  <si>
    <t>акционерное общество "Научно-исследовательский институт телевидения"</t>
  </si>
  <si>
    <t>Общество с ограниченной ответственностью  "Страховой брокер "РТ-Страхование"</t>
  </si>
  <si>
    <t>открытое акционерное общество "Кузнецкий завод радиоприборов"</t>
  </si>
  <si>
    <t>Открытое акционерное общество "РТ-Проектные технологии"</t>
  </si>
  <si>
    <t>открытое акционерное общество "Научно-исследовательский и опытно-экспериментальный центр интеллектуальных технологий "Петрокомета"</t>
  </si>
  <si>
    <t>Открытое акционерное общество "РТ-Информ"</t>
  </si>
  <si>
    <t>открытое акционерное общество "Научно-исследовательский центр "Кристалл"</t>
  </si>
  <si>
    <t>Открытое акционерное общество "РТ-Медицина"</t>
  </si>
  <si>
    <t>акционерное общество "Конструкторское бюро полупроводникового машиностроения"</t>
  </si>
  <si>
    <t>Открытое акционерное общество "Дирекция единого заказчика-застройщика"</t>
  </si>
  <si>
    <t xml:space="preserve">акционерное общество "Научно-производственное предприятие "Кант" </t>
  </si>
  <si>
    <t>Открытое акционерное общество "Ижевский механический завод"</t>
  </si>
  <si>
    <t>акционерное общество "Научно-технический центр современных навигационных технологий "Интернавигация"</t>
  </si>
  <si>
    <t>Акционерное общество "РТ-Финанс"</t>
  </si>
  <si>
    <t>акционерное общество  "Омский научно-исследовательский институт приборостроения"</t>
  </si>
  <si>
    <t>Общество с ограниченной ответственностью  "ШВАБЕ-КАПИТАЛ"</t>
  </si>
  <si>
    <t>акционерное общество  "Барнаульское специальное конструкторское бюро "Восток"</t>
  </si>
  <si>
    <t>Открытое акционерное общество "Авиакомпания"</t>
  </si>
  <si>
    <t>акционерное общество "Радиозавод"</t>
  </si>
  <si>
    <t>Открытое акционерное общество "Восточно-Сибирский комбинат биотехнологий"</t>
  </si>
  <si>
    <t>открытое акционерное общество "Барнаульский радиозавод"</t>
  </si>
  <si>
    <t>Открытое акционерное общество "Ижевский машиностроительный завод"</t>
  </si>
  <si>
    <t>открытое акционерное общество "Супертел ДАЛС"</t>
  </si>
  <si>
    <t>Открытое акционерное общество "Вторметмаш"</t>
  </si>
  <si>
    <t>акционерное общество "Омское производственное объединение "Иртыш"</t>
  </si>
  <si>
    <t>Общество с ограниченной ответственностью "Центр управления непрофильными активами "Авиационное оборудование –Девелопмент"</t>
  </si>
  <si>
    <t>открытое акционерное общество "Внешнеэкономическое объединение "Машприборинторг"</t>
  </si>
  <si>
    <t>Общество с ограниченной ответственностью "Центр управления непрофильными активами "КРЭТ"</t>
  </si>
  <si>
    <t>открытое акционерное общество "Опытно-конструкторское бюро "Радикал"</t>
  </si>
  <si>
    <t>Общество с ограниченной ответственностью "Центр управления непрофильными активами "НПО "Высокоточные комплексы"</t>
  </si>
  <si>
    <t>открытое акционерное общество "Томский научно-исследовательский институт "Проект"</t>
  </si>
  <si>
    <t>Общество с ограниченной ответственностью "Центр управления непрофильными активами "НПО "ИЖМАШ"</t>
  </si>
  <si>
    <t>акционерное общество "НПП "Торий"</t>
  </si>
  <si>
    <t>Общество с ограниченной ответственностью "Центр управления непрофильными активами "ОПК "ОБОРОНПРОМ"</t>
  </si>
  <si>
    <t>Общество с ограниченной ответственностью "Центр управления непрофильными активами "Химкомпозит"</t>
  </si>
  <si>
    <t>Общество с ограниченной ответственностью "Центр управления непрофильными активами "РТ-Биотехпром"</t>
  </si>
  <si>
    <t>Закрытое акционерное общество "Научно-производственный центр "Реструктуризация и новые программы"</t>
  </si>
  <si>
    <t>Общество с ограниченной ответственностью "РТ-Интеллектэкспорт"</t>
  </si>
  <si>
    <t>Общество  с ограниченной ответственностью "Росмодульстрой"</t>
  </si>
  <si>
    <t>% от суммы Договоров</t>
  </si>
  <si>
    <t>Общее количество закупок с заключенными договорами</t>
  </si>
  <si>
    <t>Общее количество запланированных закупок</t>
  </si>
  <si>
    <t>Общее количество объявленных закупок</t>
  </si>
  <si>
    <t>Закупка размещена</t>
  </si>
  <si>
    <t>8.1</t>
  </si>
  <si>
    <t>8.2</t>
  </si>
  <si>
    <t>Закупка у ЕП</t>
  </si>
  <si>
    <t>% от суммы договоров</t>
  </si>
  <si>
    <t>Общество с ограниченной ответственностью «БК на Русаковской»</t>
  </si>
  <si>
    <t>1304</t>
  </si>
  <si>
    <t>Открытое акционерное общество "Объединенные автомобильные технологии"</t>
  </si>
  <si>
    <t>1305</t>
  </si>
  <si>
    <t>Акционерное общество «Димитровградский автоагрегатный завод»</t>
  </si>
  <si>
    <t>1306</t>
  </si>
  <si>
    <t>ФГУП "НПО"Микроген"</t>
  </si>
  <si>
    <t>0907</t>
  </si>
  <si>
    <t>Акционерное общество «Скопинский автоагрегатный завод»</t>
  </si>
  <si>
    <t>1307</t>
  </si>
  <si>
    <t>Акционерное общество «Сердобский машиностроительный завод»</t>
  </si>
  <si>
    <t>1308</t>
  </si>
  <si>
    <t>Акционерное общество Сельскохозяйственное предприятие "ЛИДЕР"</t>
  </si>
  <si>
    <t>1309</t>
  </si>
  <si>
    <t>акционерное общество "Вологодский оптико-механический завод"</t>
  </si>
  <si>
    <t>1015</t>
  </si>
  <si>
    <t>общество с ограниченной ответственностью 
 "Швабе – Екатеринбург"</t>
  </si>
  <si>
    <t>1016</t>
  </si>
  <si>
    <t>общество с ограниченной ответственностью 
 "Швабе – Капитал"</t>
  </si>
  <si>
    <t>1017</t>
  </si>
  <si>
    <t>общество с ограниченной ответственностью 
 "Швабе – Инжиниринг"</t>
  </si>
  <si>
    <t>1018</t>
  </si>
  <si>
    <t>общество с ограниченной ответственностью 
 "Швабе – Медиа"</t>
  </si>
  <si>
    <t>1019</t>
  </si>
  <si>
    <t>Акционерное общество "Арамильский авиационный ремонтный завод"</t>
  </si>
  <si>
    <t>1719</t>
  </si>
  <si>
    <t>общество с ограниченной ответственностью 
 "Швабе – Ростов"</t>
  </si>
  <si>
    <t>1020</t>
  </si>
  <si>
    <t>общество с ограниченной ответственностью 
 "Северная топливно-энергетическая компания"</t>
  </si>
  <si>
    <t>1021</t>
  </si>
  <si>
    <t>общество с ограниченной ответственностью 
 "Швабе – Москва"</t>
  </si>
  <si>
    <t>1022</t>
  </si>
  <si>
    <t>общество с ограниченной ответственностью 
 "Швабе – Нижний Новгород"</t>
  </si>
  <si>
    <t>1023</t>
  </si>
  <si>
    <t>общество с ограниченной ответственностью 
 "Швабе – Омск"</t>
  </si>
  <si>
    <t>1024</t>
  </si>
  <si>
    <t>акционерное общество "Калиновский химический завод"</t>
  </si>
  <si>
    <t>0849</t>
  </si>
  <si>
    <t>Общество  с ограниченной ответственностью "Инжиниринговая компания "Технопромэкспорт"</t>
  </si>
  <si>
    <t>Открытое акционерное  общество «Научно-исследовательский институт цветных металлов» «ГИНЦВЕТМЕТ»</t>
  </si>
  <si>
    <t>Открытое акционерное общество «Топливная компания ТВК»</t>
  </si>
  <si>
    <t>ООО «Ситиэнерго»</t>
  </si>
  <si>
    <t>АО «НПЦ газотурбостроения «Салют»</t>
  </si>
  <si>
    <t>112</t>
  </si>
  <si>
    <t>Количество закупок с заключенным договором</t>
  </si>
  <si>
    <t>%  от общего количества закупок с заключенными договорами</t>
  </si>
  <si>
    <t>Цена договоров, руб.</t>
  </si>
  <si>
    <t>7.1</t>
  </si>
  <si>
    <t>Бумажная</t>
  </si>
  <si>
    <t>Всего:</t>
  </si>
  <si>
    <t>Количеcтво квалификационных отборов
для серий закупок</t>
  </si>
  <si>
    <t>Факт (объявлено)</t>
  </si>
  <si>
    <t>№ мес</t>
  </si>
  <si>
    <t>за ___ квартал _____ г.</t>
  </si>
  <si>
    <t>Поквартальное исполнение РПЗ, %</t>
  </si>
  <si>
    <t>ГОДОВОЕ ИСПОЛНЕНИЕ РПЗ, %</t>
  </si>
  <si>
    <t>Сведения о количестве и общей стоимости договоров, заключенных способом «у единственного поставщика» ввиду несостоявшихся конкурентных процедур закупок, указанных в п. 3.</t>
  </si>
  <si>
    <t>Сведения о количестве и общей стоимости договоров, заключенных с субъектами МСП (сумма строк 6.1-6.3), в т. ч.:</t>
  </si>
  <si>
    <t>АО "СИБЕР"</t>
  </si>
  <si>
    <t>общество с ограниченной ответственностью "Частная охранная организация "РТО-Гард"</t>
  </si>
  <si>
    <t>1720</t>
  </si>
  <si>
    <t>Сведения о количестве и общей стоимости договоров, заключенных по результатам закупки продукции (сумма строк 1.1, 1.2, 1.3), в т. ч.:</t>
  </si>
  <si>
    <t>Сведения о количестве и общей стоимости договоров, заключенных с инфраструктурными дочерними организациями (ИДО) Корпорации (сумма строк 7.1, 7.2), в т. ч.:</t>
  </si>
  <si>
    <t>Общая сумма закупок с заключенными договорами, руб.</t>
  </si>
  <si>
    <t>* - для закупок, извещение о проведении которых размещено до 1 апреля 2016 года, способ закупки указывается в соответствии с перечнем способов, утвержденным Единым Положением о закупке ГК "Ростех"</t>
  </si>
  <si>
    <t>Способы закупок*</t>
  </si>
  <si>
    <t>Основания ЕП**</t>
  </si>
  <si>
    <t>Иное</t>
  </si>
  <si>
    <t>**  - "Иное" в качестве основания для закупки у ЕП применимо для закупок, извещение о проведении которых размещается до 1 апреля 2016 года; при этом во вкладке "Примечание" указывается основание в соответствии с действующей редакцией положения о закупке Заказчика</t>
  </si>
  <si>
    <t>Закупки в электронной и бумажной формах</t>
  </si>
  <si>
    <t>Сведения о количестве (лотах) и общей стоимости размещенных в ЕИС / на официальном сайте заказчика (для заказчиков II группы) извещений о проведении конкурентных процедур закупок (суммарный показатель НМЦ по лотам) в электронной форме, в т. ч.:</t>
  </si>
  <si>
    <t>Сведения о количестве (лотах) и общей стоимости официально размещенных в ЕИС / на официальном сайте заказчика (для заказчиков II группы) извещений о проведении конкурентных процедур закупок (суммарный показатель НМЦ по лотам)</t>
  </si>
  <si>
    <t>Сведения о количестве (лотах) и общей стоимости официально размещенных в ЕИС / на официальном сайте заказчика (для заказчиков II группы) извещений о проведении конкурентных процедур закупок (суммарный показатель НМЦ по лотам), признанных по итогам несостоявшимися (сумма строк 3.1, 3.2, 3.4), в т. ч.:</t>
  </si>
  <si>
    <t>74.90.20.149</t>
  </si>
  <si>
    <t>наличие лицензии на работу с гос. тайной</t>
  </si>
  <si>
    <t>876</t>
  </si>
  <si>
    <t>усл.  ед.</t>
  </si>
  <si>
    <t>Санкт-Петребург</t>
  </si>
  <si>
    <t>Смета накладных расходов</t>
  </si>
  <si>
    <t xml:space="preserve"> ФГУП "Главный центр специальной связи"</t>
  </si>
  <si>
    <t>1 отдел     Колищук</t>
  </si>
  <si>
    <t>пролонгация Договора с 2008 г.</t>
  </si>
  <si>
    <t>80.10</t>
  </si>
  <si>
    <t>80.10.12.000</t>
  </si>
  <si>
    <t>Санкт-Петербург</t>
  </si>
  <si>
    <t>2206618</t>
  </si>
  <si>
    <t>etprf.ru</t>
  </si>
  <si>
    <t>АО "РТ-Охрана" СПБ филиал</t>
  </si>
  <si>
    <t>Отдел обеспечения пропускного режима Семашкина</t>
  </si>
  <si>
    <t>п.8.2. Договора 8-О/15-4250/640Н пролонгация Доп.соглашение</t>
  </si>
  <si>
    <t xml:space="preserve"> ОВО по Калининскому р-ну СПб - филиал ФГКУ УВО ГУ МВД России по СПб и ЛО </t>
  </si>
  <si>
    <t>33.12</t>
  </si>
  <si>
    <t>33.12.29.000</t>
  </si>
  <si>
    <t>1. Наличие статуса авторизованного сервисного центра и дилера Oce Technologies. 2.Наличие в штате сертифицированных инженеров</t>
  </si>
  <si>
    <t>усл.ед.</t>
  </si>
  <si>
    <t>25 01 18 (Затраты на содержание оборудования. Оплата услуг сторонних организаций)</t>
  </si>
  <si>
    <t>да</t>
  </si>
  <si>
    <t>не применимо</t>
  </si>
  <si>
    <t>ОТД (Ерёмин)</t>
  </si>
  <si>
    <t>1.Наличие статуса сервисного партнера и авторизованного дилера Canon. 2.Наличие в штате сертифицированных инженеров</t>
  </si>
  <si>
    <t>71.12.62</t>
  </si>
  <si>
    <t>71.12.40.120</t>
  </si>
  <si>
    <t>Наличие действующего аттестата аккредитации в области обеспечения единства измерений.</t>
  </si>
  <si>
    <t>усл.ед</t>
  </si>
  <si>
    <t>г. Санкт-Петербург</t>
  </si>
  <si>
    <t>2000000</t>
  </si>
  <si>
    <t>ст. 250128                                                       ст. 250228                                                  1.04.27</t>
  </si>
  <si>
    <t>ОГМетр Балудин Игорь Леонидович, (812) 532-93-64</t>
  </si>
  <si>
    <t>Наличие действующего аттестата аккредитации в области обеспечения единства измерений</t>
  </si>
  <si>
    <t>усл. ед.</t>
  </si>
  <si>
    <t>Москва</t>
  </si>
  <si>
    <t>ст. 250128             1.04.27</t>
  </si>
  <si>
    <t>НТЦ ТЗИ Зубрев Александр Михайлович 531-11-03</t>
  </si>
  <si>
    <t>Акционерное общество «Научно-производственное объединение «Импульс»</t>
  </si>
  <si>
    <t>Российская Федерация, 195220, Санкт-Петербург, ул. Обручевых, д.1</t>
  </si>
  <si>
    <t>(812)2904855</t>
  </si>
  <si>
    <t>kanz@npoimpuls.ru</t>
  </si>
  <si>
    <t>на 2017 год</t>
  </si>
  <si>
    <t>43.22</t>
  </si>
  <si>
    <t>43.22.12.190</t>
  </si>
  <si>
    <t>Качество поставляемого оборудования должно соответствовать установленным на данный вид оборудования ГОСТ РФ.     Работы должны выполняться в соотвествии с действующими нормативно-правовыми актами РФ, регламентирующими проведение данных видов работ,с соблюдением правил электробезопасности и пожарной безопасности, норм и правил охраны труда и безопасности работ.</t>
  </si>
  <si>
    <t>2 000 000,00 Российских Рублей</t>
  </si>
  <si>
    <t>Расходы на ремонт (ст. 25.01.10, 25.02.10, 26.22)</t>
  </si>
  <si>
    <t>Служба Главного Инженера Мартьянов Александр Георгиевич              594-57-66</t>
  </si>
  <si>
    <t xml:space="preserve">33.14 </t>
  </si>
  <si>
    <t>33.14.19.000</t>
  </si>
  <si>
    <t>На поставленное оборудование должны быть сертификаты соответствия Госстандарта РФ.  Работы должны выполняться в соотвествии с действующими нормативно-правовыми актами РФ, регламентирующими проведение данных видов работ, с соблюдением правил электробезопасности и пожарной безопасности, норм и правил охраны труда и безопасности работ.</t>
  </si>
  <si>
    <t>Расходы на ремонт (ст. 26.22)</t>
  </si>
  <si>
    <t>43.21</t>
  </si>
  <si>
    <t>43.21.10.210</t>
  </si>
  <si>
    <t>33.14.11.000</t>
  </si>
  <si>
    <t>Собственные средства на ремонт (ст. 25.01.10, 25.02.10, 26.22)</t>
  </si>
  <si>
    <t>43.32.1</t>
  </si>
  <si>
    <t>43.32.10.130</t>
  </si>
  <si>
    <t>На поставленную Продукцию (противопожарные двери) должны быть сертификаты качества и сертификаты соответствия  Продукции требованиям пожарной безопасности. Работы должны выполняться в соотвествии с действующими нормативно-правовыми актами РФ, регламентирующими проведение данных видов работ,с соблюдением правил электробезопасности и пожарной безопасности, норм и правил охраны труда и безопасности работ.</t>
  </si>
  <si>
    <t>АО "РТ-Пожарная Безопасность"</t>
  </si>
  <si>
    <t>43.29</t>
  </si>
  <si>
    <t>43.29.11.140</t>
  </si>
  <si>
    <t>Поставленная продукция должна соответствовать требованиям пожарной безопасности, на продукцию должны быть сертификаты соответствия. Работы должны выполняться в соотвествии с действующим нормативно-правовыми актами РФ, регламентирующими проведение данных видов работ, с соблюдением правил электробезопасности и пожарной безопасности, норм и правил охраны труда и безопасности работ.</t>
  </si>
  <si>
    <t>Собственные средства на ремонт (ст. (25.02.10)</t>
  </si>
  <si>
    <t>Поставленная продукция должна соответствовать требованиям пожарной безопасности, на продукцию должны быть сертификаты соответствия. Работы должны выполняться в соотвествии с действующими нормативно-правовыми актами РФ, регламентирующими проведение данных видов работ, с соблюдением правил электробезопасности и пожарной безопасности, норм и правил охраны труда и безопасноности работ.</t>
  </si>
  <si>
    <t>Расходы на ремонт (ст. (25.02.10)</t>
  </si>
  <si>
    <t>43.29.12.120</t>
  </si>
  <si>
    <t>Поставленная продукция должна соответствовать требованиям пожарной безопасности, на продукцию должны быть сертификаты соответствия. Работы должны выполняться в соотвествии с действующим нормативно-правовыми актами РФ, регламентирующими проведение данных видов работ, с соблюдением правил электробезопасности и пожарной безопасности, норм и правил охраны труда и безопасноности работ.</t>
  </si>
  <si>
    <t>43.29.19.110</t>
  </si>
  <si>
    <t>Поставленное оборудование должно иметь сертификаты соответствия Госстандарта РФ и сертификаты качества.  Работы должны выполняться в соотвествии с требованиями Технического регламента таможенного союза 011/2011 «Безопасность лифтов» и другими действующимм нормативно-правовыми актами РФ, регламентирующими проведение данных видов работ, с соблюдением правил электробезопасности и пожарной безопасности, норм и правил охраны труда и безопасности работ.</t>
  </si>
  <si>
    <t>Расходы на ремонт (ст. 25.01.10, 26.22)</t>
  </si>
  <si>
    <t xml:space="preserve">ОЗК </t>
  </si>
  <si>
    <t xml:space="preserve">33.12 </t>
  </si>
  <si>
    <t>33.12.15.000</t>
  </si>
  <si>
    <t>На поставленное оборудование должны быть сертификаты соответствия Госстандарта РФ.  Работы должны выполняться в соотвествии с требованиями действующих нормативно-правовых актов РФ, регламентирующих проведение данных видов работ, с соблюдением правил электробезопасности и пожарной безопасности, норм и правил охраны труда и безопасности работ.</t>
  </si>
  <si>
    <t>Расходы на ремонт (ст. 25.02.10)</t>
  </si>
  <si>
    <t>43.21.10.140</t>
  </si>
  <si>
    <t>На поставленную Продукцию должны быть сертификаты качества и сертификаты соответствия  Продукции требованиям пожарной безопасности. Работы должны выполняться в соотвествии с действующим нормативно-правовыми актами РФ, регламентирующими проведение данных видов работ, с соблюдением правил электробезопасности и пожарной безопасности, норм и правил охраны труда и безопасности работ.</t>
  </si>
  <si>
    <t>Техническое перевооружение (амортизационные отчисления)</t>
  </si>
  <si>
    <t>71.12</t>
  </si>
  <si>
    <t>71.12.19.000</t>
  </si>
  <si>
    <t>Рабочая документациия  должна соответствовать ГОСТ Р 21.1101-2013  "Система проектной документации для строительства. Основные требования к проектной и рабочей документации» и другим нормативно-правовым актам, действующим в РФ.</t>
  </si>
  <si>
    <t>На поставленную Продукцию должны быть сертификаты качества и сертификаты соответствия  Продукции требованиям пожарной безопасности. Работы должны выполняться в соотвествии с действующими нормативно-правовыми актами РФ, регламентирующими проведение данных видов работ, с соблюдением правил электробезопасности и пожарной безопасности, норм и правил охраны труда и безопасности работ.</t>
  </si>
  <si>
    <t>877</t>
  </si>
  <si>
    <t>Служба Главного Инженера Мартьянов Александр Георгиевич              594-57-67</t>
  </si>
  <si>
    <t>Рабочая документациия  должна соответствовать ГОСТ Р 21.1101-2013 "Система проектной документации для строительства. Основные требования к проектной и рабочей документации» и другим нормативно-правовым актам, действующим в РФ.</t>
  </si>
  <si>
    <t>350 000,00 Российских Рублей</t>
  </si>
  <si>
    <t>На поставленное оборудование должны быть сертификаты соответствия Госстандарта РФ . Работы должны выполняться в соотвествии с действующим нормативно-правовыми актами РФ, регламентирующими проведение данных видов работ,с соблюдением правил электробезопасности и пожарной безопасности, норм и правил охраны труда и безопасности работ.</t>
  </si>
  <si>
    <t>28.29</t>
  </si>
  <si>
    <t>28.29.12.131</t>
  </si>
  <si>
    <t>На поставленное оборудование должны быть сертификаты соответствия Госстандарта РФ. Работы должны выполняться в соотвествии с действующим нормативно-правовыми актами РФ, регламентирующими проведение данных видов работ, с соблюдением правил электробезопасности и пожарной безопасности, норм и правил охраны труда и безопасности работ.</t>
  </si>
  <si>
    <t>43.21.10.290</t>
  </si>
  <si>
    <t>Поставленное оборудование должно иметь сертификаты соответствия Госстандарта РФ и сертификаты качества.  Работы должны выполняться в соотвествии с действующими нормативно-правовыми актами РФ, регламентирующими проведение данных видов работ, с соблюдением правил электробезопасности и пожарной безопасности, норм и правил охраны труда и безопасности работ.</t>
  </si>
  <si>
    <t>43.21.10.110</t>
  </si>
  <si>
    <t>На поставленное оборудование должны быть сертификаты соответствия Госстандарта РФ и сертификаты качества.  Работы должны выполняться в соотвествии с действующими нормативно-правовыми актами РФ, регламентирующими проведение данных видов работ, с соблюдением правил электробезопасности и пожарной безопасности, норм и правил охраны труда и безопасности работ.</t>
  </si>
  <si>
    <t>Работы выполняются в соответствии с требованиями Технического регламента пожарной безопасности от 22.07.2008 г. № 123-ФЗ (с изменениями на 23.06.2014 г.), а также с другими действующими нормативно-правовыми актами РФ, регламентирующими проведение работ, связанных с работами по противопожарной защите.</t>
  </si>
  <si>
    <t>Проектная документациия  должна соответствовать ГОСТ Р 21.1101-2013  "Система проектной документации для строительства. Основные требования к проектной и рабочей документации» и другим нормативно-правовым актам, действующим в РФ.</t>
  </si>
  <si>
    <t xml:space="preserve">84.25 </t>
  </si>
  <si>
    <t>84.25.19.190</t>
  </si>
  <si>
    <t>33.12.18</t>
  </si>
  <si>
    <t>На поставляемые материалы должны быть сертификаты качества. Работы должны выполняться в соотвествии с действующими нормативно-правовыми актами РФ, регламентирующими проведение данных видов работ, с соблюдением правил электробезопасности и пожарной безопасности, норм и правил охраны труда и безопасности работ.</t>
  </si>
  <si>
    <t>Расходы на содержание, (ст.250115, 250215, 2627)</t>
  </si>
  <si>
    <t>33.12.12</t>
  </si>
  <si>
    <t>Расходы на содержание, (ст.250115, 250215)</t>
  </si>
  <si>
    <t>37.00</t>
  </si>
  <si>
    <t>37.00.11</t>
  </si>
  <si>
    <t>Работы должны выполняться в соотвествии с действующими нормативно-правовыми актами РФ, нормами и правилами охраны труда и безопасности работ.</t>
  </si>
  <si>
    <t>200 000,00 Российских Рублей</t>
  </si>
  <si>
    <t>Расходы на содержание, (ст.2630)</t>
  </si>
  <si>
    <t>33.20</t>
  </si>
  <si>
    <t>33.20.29.000</t>
  </si>
  <si>
    <t>Работы должны выполняться в соответствии с РД 78.36.002-2010 "Технические средства систем безопасности объектов. Обозначения условные графические элементов технических средств охраны, систем контроля и управления доступом, систем охранного телевидения" и другими дейсвующими нормативно-правовыми актами.</t>
  </si>
  <si>
    <t>Расходы на содержание, (ст.2639)</t>
  </si>
  <si>
    <t>71.20</t>
  </si>
  <si>
    <t>71.20.19.190</t>
  </si>
  <si>
    <t>Работы должны выполнятся в соответствии с требованиями Технического регламента таможенного союза 011/2011 «Безопасность лифтов».</t>
  </si>
  <si>
    <t>Расходы на содержание, (ст.260116, 260216, 2627)</t>
  </si>
  <si>
    <t>71.20.19.140</t>
  </si>
  <si>
    <t>По результатам энергетического обследования должен быть составлен отчет  и разработан энергетический паспорт. Энергетический паспорт должен соответствовать требованиям, утвержденным приказом Минэнерго от 30.06.2014 г. № 400, ФЗ об энергосбережении и повышении энергетической эффективности № 261-ФЗ от 23.11.2009.</t>
  </si>
  <si>
    <t>Расходы на содержание                   (ст.2657)</t>
  </si>
  <si>
    <t>33.12.19.000</t>
  </si>
  <si>
    <r>
      <t xml:space="preserve">Оказание услуг должно осуществляться по утвержденному графику обслуживания, в соответствии с требованиями </t>
    </r>
    <r>
      <rPr>
        <sz val="10"/>
        <rFont val="Arial"/>
        <family val="2"/>
        <charset val="204"/>
      </rPr>
      <t>инструкции по эксплуатации автоматов.</t>
    </r>
  </si>
  <si>
    <t>Расходы на содержание (ст.2631а, 250118</t>
  </si>
  <si>
    <t>Работы выполняются в соответствии с требованиями Технического регламента пожарной безопасности от 22.07.2008 г. № 123-ФЗ (с изменениями на 23.06.2014 г.), а также с другими действующими нормативно-правовыми актами РФ, регламентирующими проведение работ, связанных с  противопожарной защитой.</t>
  </si>
  <si>
    <t>Расходы на содержание (ст.2641)</t>
  </si>
  <si>
    <t>Проведение экспертизы в соответствии с требованиями ФЗ " О промышленной безопасности опасных производственных объектов" от 21.07.1997 № 116-ФЗ (редакция 2016 г.).</t>
  </si>
  <si>
    <t>Расходы на содержание (ст.250116, 2628)</t>
  </si>
  <si>
    <t>74.87.5</t>
  </si>
  <si>
    <t>не предусмотрены</t>
  </si>
  <si>
    <t>собственные средства</t>
  </si>
  <si>
    <t>н/д</t>
  </si>
  <si>
    <t>ОБТ, Корнетова Надежда Павловна, 590-55-12</t>
  </si>
  <si>
    <t>27.90</t>
  </si>
  <si>
    <t>27.90.60</t>
  </si>
  <si>
    <t xml:space="preserve"> Товар должен быть оригинальным, не восстановленным, новым и не бывшим в употреблении, промышленного производства, категории ВП,  произведенным не ранее 01.01.2016</t>
  </si>
  <si>
    <t>шт</t>
  </si>
  <si>
    <t>Собственные средства заказчика (в целях исполнения обязательств по договорам с контрагентами по государственным контрактам)</t>
  </si>
  <si>
    <t>Коммерческий отдел Дорохов Виктор Николаевич +7(812) 532-78-22</t>
  </si>
  <si>
    <t>27.90.52.000</t>
  </si>
  <si>
    <t>АО "НИИ Гириконд"</t>
  </si>
  <si>
    <t>26.11.3</t>
  </si>
  <si>
    <t>26.11.30.000</t>
  </si>
  <si>
    <t>АО ОПК</t>
  </si>
  <si>
    <t>26.11.2</t>
  </si>
  <si>
    <t>26.11.22.130</t>
  </si>
  <si>
    <t>27.33</t>
  </si>
  <si>
    <t>27.33.13.120</t>
  </si>
  <si>
    <t>26.11.9</t>
  </si>
  <si>
    <t xml:space="preserve">26.11.40.190     </t>
  </si>
  <si>
    <t>ЗАО Группа компаний Электронинвест</t>
  </si>
  <si>
    <t>ОАО СКТБ РТ</t>
  </si>
  <si>
    <t>ПАО Завод Атлант</t>
  </si>
  <si>
    <t>ОАО Лит-Фонон</t>
  </si>
  <si>
    <t>ОАО Морион</t>
  </si>
  <si>
    <t>ОАО "Уральский завод электрических соединителей Исеть"</t>
  </si>
  <si>
    <t>27.12.24.160</t>
  </si>
  <si>
    <t>ОАО НПК Северная Заря</t>
  </si>
  <si>
    <t>27.11.13</t>
  </si>
  <si>
    <t>27.11.42.000</t>
  </si>
  <si>
    <t>0814039092</t>
  </si>
  <si>
    <t>ОАО "Завод Звезда"</t>
  </si>
  <si>
    <t>5320002221</t>
  </si>
  <si>
    <t>ОАО "Мстатор"</t>
  </si>
  <si>
    <t>АО "Карачевский завод Электродеталь"</t>
  </si>
  <si>
    <t>0901021006</t>
  </si>
  <si>
    <t>ОАО "Каскад"</t>
  </si>
  <si>
    <t>1217000287</t>
  </si>
  <si>
    <t>ОАО "Завод Копир"</t>
  </si>
  <si>
    <t>3661033635</t>
  </si>
  <si>
    <t>АО "ВЗПП-С"</t>
  </si>
  <si>
    <t>28.25.2</t>
  </si>
  <si>
    <t>28.25.20.110</t>
  </si>
  <si>
    <t>5905220812</t>
  </si>
  <si>
    <t>ООО Иолла</t>
  </si>
  <si>
    <t>АО Завод Элекон</t>
  </si>
  <si>
    <t>27.32.2</t>
  </si>
  <si>
    <t>27.32.13.192</t>
  </si>
  <si>
    <t>Товар должен быть оригинальным, не восстановленным, новым и не бывшим в употреблении, промышленного производства, поставщик должен обладать лицензией на производство или сертификатом второго поставщика</t>
  </si>
  <si>
    <t>006</t>
  </si>
  <si>
    <t>м</t>
  </si>
  <si>
    <t>Предоплата по заключаемым договорам в рамках 275-ФЗ (заказы ОЗ)</t>
  </si>
  <si>
    <t>28.23.2</t>
  </si>
  <si>
    <t>28.23.26.000</t>
  </si>
  <si>
    <t>Товар должен быть оригинальным, не восстановленным, новым и не бывшим в употреблении, промышленного производства.</t>
  </si>
  <si>
    <t>25.03</t>
  </si>
  <si>
    <t>17.12.1</t>
  </si>
  <si>
    <t>17.12.14.119</t>
  </si>
  <si>
    <t>упаковка</t>
  </si>
  <si>
    <t>25.03, 26.02, 26.07</t>
  </si>
  <si>
    <t>24.10</t>
  </si>
  <si>
    <t>24.10.1</t>
  </si>
  <si>
    <t>Товар должен быть оригинальным, не восстановленным, новым и не бывшим в употреблении, промышленного производства, иметь сертификаты</t>
  </si>
  <si>
    <t>т</t>
  </si>
  <si>
    <t>24.4</t>
  </si>
  <si>
    <t>14.12.1 14.12.2 14.12.30</t>
  </si>
  <si>
    <t>14.12</t>
  </si>
  <si>
    <t>Товар должен быть  новым, не восстановленным и не бывшим в употреблении, промышленного производства, иметь сертификаты</t>
  </si>
  <si>
    <t>25.24</t>
  </si>
  <si>
    <t>Товар должен быть новым, не восстановленным и не бывшим в употреблении, промышленного производства, иметь сертификаты</t>
  </si>
  <si>
    <t>17.23</t>
  </si>
  <si>
    <t>17.23.13.145</t>
  </si>
  <si>
    <t>Товар должен быть оригинальным промышленного производства</t>
  </si>
  <si>
    <t>796</t>
  </si>
  <si>
    <t>ГУП "Петербургский метрополитен"</t>
  </si>
  <si>
    <t>69.20.1</t>
  </si>
  <si>
    <t>69.20.10.000</t>
  </si>
  <si>
    <t xml:space="preserve">Лицензии на осуществление работ, связанных с использованием сведений, составляющих государственную тайну.
Свидетельство, подтверждающего членство в саморегулируемом профессиональном общественном объединении аудиторов, внесенном в государственный реестр саморегулируемых организаций аудиторов.
Выписка из реестра аудиторов и аудиторских организаций, заверенная СРО аудиторов, выданная не ранее месяца до даты подачи заявки на участие в закупке
</t>
  </si>
  <si>
    <t>Санкт-Петебург</t>
  </si>
  <si>
    <t>26.05</t>
  </si>
  <si>
    <t>Бухгалтерия Сован Т.И. 596-58-20</t>
  </si>
  <si>
    <t>85.23</t>
  </si>
  <si>
    <t>85.23.11</t>
  </si>
  <si>
    <t>Наличие лицензии на право ведения образовательной деятельности и государственной аккредитации учебного заведения</t>
  </si>
  <si>
    <t>2645, 250133, 250233</t>
  </si>
  <si>
    <t>НД</t>
  </si>
  <si>
    <t>ФГАОУ ВО "Санкт-Петербургский политехнический университет Петра Великого"</t>
  </si>
  <si>
    <t>БПК (Кузевич)</t>
  </si>
  <si>
    <t>85.22</t>
  </si>
  <si>
    <t>85.22.12 (85.22.22)</t>
  </si>
  <si>
    <t>единый  поставщик определяется по факту заявки</t>
  </si>
  <si>
    <t>85.21</t>
  </si>
  <si>
    <t>85.21.12</t>
  </si>
  <si>
    <t>85.42</t>
  </si>
  <si>
    <t>85.42.19</t>
  </si>
  <si>
    <t xml:space="preserve">Наличие лицензии на право ведения образовательной деятельности:                     в соответствии с утверждённым планом профессиональной подготовки, переподготовки, повышения квалификации и обучения персонала
</t>
  </si>
  <si>
    <t>93.29</t>
  </si>
  <si>
    <t>93.29.9.000</t>
  </si>
  <si>
    <t>Наличие лицензии, территориальное расположение в пределах Калиниснкого района, скидки по договору</t>
  </si>
  <si>
    <t>Смета социального развития, прибыль</t>
  </si>
  <si>
    <t>закупка через конкурс</t>
  </si>
  <si>
    <t>86.90.4</t>
  </si>
  <si>
    <t>86.90.19.000</t>
  </si>
  <si>
    <t>расположение санатория не далее чем 200м до моря. 2-х местный номер,с кондиционером.</t>
  </si>
  <si>
    <t xml:space="preserve">     усл.ед.</t>
  </si>
  <si>
    <t>прибыль</t>
  </si>
  <si>
    <t xml:space="preserve">да </t>
  </si>
  <si>
    <t>Н/д</t>
  </si>
  <si>
    <t>СБО(Калугина)</t>
  </si>
  <si>
    <t>93.19.19.000</t>
  </si>
  <si>
    <t>расположение в шаговой доступности (не более 1км) время посещения с 18 до 20ч</t>
  </si>
  <si>
    <t xml:space="preserve">400 000.00 </t>
  </si>
  <si>
    <t>38.11</t>
  </si>
  <si>
    <t>81.29.12</t>
  </si>
  <si>
    <t>вывоз снега согласно утвержденным срокам,по заявке в течении суток и в необходимом объеме</t>
  </si>
  <si>
    <t xml:space="preserve">      усл.ед.</t>
  </si>
  <si>
    <t xml:space="preserve">220 000.00 </t>
  </si>
  <si>
    <t>26 30</t>
  </si>
  <si>
    <t>38.11.69.000</t>
  </si>
  <si>
    <t>осуществление вывоза отходов(мусора) на основании поданной заявки в согласованные сроки</t>
  </si>
  <si>
    <t>39.00</t>
  </si>
  <si>
    <t>81.29.11</t>
  </si>
  <si>
    <t>проведение работ по  дезинсекции помещений предприятия по заявке в течении суток</t>
  </si>
  <si>
    <t>300 000.00</t>
  </si>
  <si>
    <t>оказание медицинских услуг в соответствии с программой добровольного медицинского страхования</t>
  </si>
  <si>
    <t xml:space="preserve">       усл.ед.</t>
  </si>
  <si>
    <t>26 01                  25 01 01              25 02 01</t>
  </si>
  <si>
    <t>ООО"СБ"РТ-Страхование"</t>
  </si>
  <si>
    <t>62.02</t>
  </si>
  <si>
    <t>62.02.20</t>
  </si>
  <si>
    <t>Разработка и внедрение системы автоматизации финансового блока предприятия на основе 1С ЕКК</t>
  </si>
  <si>
    <t>1.04.08.00.00</t>
  </si>
  <si>
    <t>Служба автоматизации производства Егоров Михаил Валентинович 290-02-07</t>
  </si>
  <si>
    <t>ГК"Ростех"</t>
  </si>
  <si>
    <t>26.20</t>
  </si>
  <si>
    <t>26.20.14.000</t>
  </si>
  <si>
    <t>Закупка деталей и блоков для самостоятельного ремонта и замены, оплата услуг по ремонту силами контрагентов</t>
  </si>
  <si>
    <t>26.20.16</t>
  </si>
  <si>
    <t>Покупка новых картриджей печати, из заправка и восстановление в течение года</t>
  </si>
  <si>
    <t>1.04.01.00.00</t>
  </si>
  <si>
    <t>26.20.15.000</t>
  </si>
  <si>
    <t>АРМ в составе: ПЭВМ на базе процессора Intel  6 поколения, с объёмом ОЗУ 4 ГБ, объёмом НЖМД 500 ГБ; клавиатура, мышь; ЖК монитор с диагональю 23 дюйма; ИБП мощностью 650 ВА</t>
  </si>
  <si>
    <t>шт.</t>
  </si>
  <si>
    <t>62.01</t>
  </si>
  <si>
    <t>62.01.29.000</t>
  </si>
  <si>
    <t>Разработка/адаптация системы контроля обслуживания службы технической поддержки</t>
  </si>
  <si>
    <t>61.10.1</t>
  </si>
  <si>
    <t>61.10.11</t>
  </si>
  <si>
    <t>1.04.07.00.00</t>
  </si>
  <si>
    <t>64.20.1</t>
  </si>
  <si>
    <t>61.20.20</t>
  </si>
  <si>
    <t>61.10.4</t>
  </si>
  <si>
    <t>61.10.49</t>
  </si>
  <si>
    <t>61.10.43</t>
  </si>
  <si>
    <t>Табельные номера</t>
  </si>
  <si>
    <t>Коммерческий отдел Фёдоров Александр Сергеевич 594-57-59</t>
  </si>
  <si>
    <t>Электронный ключ для подключения клиента антивирусного ПО с серверу управления</t>
  </si>
  <si>
    <t>АРМ в составе: ПЭВМ на базе процессора Intel  6 поколения, с объёмом ОЗУ 4 ГБ, объёмом НЖМД 500 ГБ; клавиатура, мышь; ЖК монитор с диагональю 23 дюйма; ИБП мощностью 650 ВА; наличие СПиСИ</t>
  </si>
  <si>
    <t>26.30.12</t>
  </si>
  <si>
    <t>Набор активного и пассивного сетевого оборудования для подключения залов СГК к ЛВС предприятия на скорости 1 Гбит/с.</t>
  </si>
  <si>
    <t>Набор активного и пассивного сетевого оборудования для организизации 10  этажных точек подключения к ЛВС предприятия на скорости 1 Гбит/с.</t>
  </si>
  <si>
    <t>МФУ формата А4 для лазерной чернобелой двухсторонней печати, с двухсторонним податчиком оригиналов, интерфейсом Ethernet, ресурсом заправки картриджа на 7000 страниц</t>
  </si>
  <si>
    <t>Право на использование продукта Microsoft Office STD 2013</t>
  </si>
  <si>
    <t>Сервер на базе платформы HP 380 Gen9, набор коммутаторов и других комплектующих  для создания отказоустойчивой инфраструктуры ядра сети</t>
  </si>
  <si>
    <t>Право на использование СЭД Directum</t>
  </si>
  <si>
    <t>Право на использование СЭД Аскон Лоцман</t>
  </si>
  <si>
    <t xml:space="preserve">Наличие у поставщика собственного военного представительства            ПО должно пройти процедуру военной приемки (приемка «5») </t>
  </si>
  <si>
    <t>51</t>
  </si>
  <si>
    <t>Заказ: 24570</t>
  </si>
  <si>
    <t xml:space="preserve">Производитель ПО: Информационная Внедренческая Компания, Институт Сетевых Технологий, КБ «Панорама», ВНИИНС им. Соломатина   </t>
  </si>
  <si>
    <t>Заказ: 24574</t>
  </si>
  <si>
    <t xml:space="preserve">Наличие у поставщика собственного военного представительства.            Оборудование должно пройти процедуру военной приемки (приемка «5»), специальную проверку (категория 2), проведенную аккредитованными организациями, имеющими действующую лицензию ФСБ, специальные исследования, проведенные организациями, имеющими действующую лицензию ФСТЭК </t>
  </si>
  <si>
    <t>71</t>
  </si>
  <si>
    <t>Заказ: 111001317</t>
  </si>
  <si>
    <t>ГОЗ, ИВД</t>
  </si>
  <si>
    <t>АРМы, Сетевое оборудование.</t>
  </si>
  <si>
    <t>61</t>
  </si>
  <si>
    <t>Заказ: 1110001330</t>
  </si>
  <si>
    <t>АРМы, Сетевое оборудование. Устройства контроля, кабели подключения, переходники (производятся в том числе АО «НПО «Импульс»)</t>
  </si>
  <si>
    <t xml:space="preserve"> 65.12.1</t>
  </si>
  <si>
    <t>65.12.12.000</t>
  </si>
  <si>
    <t>74.90</t>
  </si>
  <si>
    <t>74.90.20</t>
  </si>
  <si>
    <t>Лицензии на осуществление вида деятельности (разработка, производство, ремонт ВВТ) и на работу с гостайной (ФСБ)</t>
  </si>
  <si>
    <t xml:space="preserve">К №1114187145542010418000458/101/22-13-192/НИО-1  от 06.06.2013г. </t>
  </si>
  <si>
    <t>ЗАО "НИИ УИМ АВН"</t>
  </si>
  <si>
    <t>НТЦ-1 Бородулин Л.А.</t>
  </si>
  <si>
    <t>ООО "НТЦ "Импульс-С"</t>
  </si>
  <si>
    <t>ООО «СПб РЦЗИ»</t>
  </si>
  <si>
    <t>НТЦ-6  Зубрицкий А.Н.</t>
  </si>
  <si>
    <t>ГК                            № 1118187311572010101000282/Н/2/5/11-11-ДГОЗ от 21.07.2011г.</t>
  </si>
  <si>
    <t>НТЦ-1                      Волков Г.Н.</t>
  </si>
  <si>
    <t>НТЦ-1                          Волков Г.Н.</t>
  </si>
  <si>
    <t>ГК №0220187310871010128000040/Р2-02-02 от 15.03.2002г.</t>
  </si>
  <si>
    <t>НТЦ-1 Штогрин И.Р.</t>
  </si>
  <si>
    <t>Дог. №0220187310871010128000040/47/11-906/НТК-1 от 01.08.2007г.</t>
  </si>
  <si>
    <t>ОЗ</t>
  </si>
  <si>
    <t>Дог. №0220187310871010128000040/649/НТК-1 от 01.01.2001г.</t>
  </si>
  <si>
    <t>ГК №1114187145542010418000458/07001181 от 05.05.2011г.</t>
  </si>
  <si>
    <t>1 000 000,00 Российских Рублей</t>
  </si>
  <si>
    <t xml:space="preserve">НТЦ-6 </t>
  </si>
  <si>
    <t>ГК №15181873110810101010011465/ЕП/!/02/Н/1788/2015 от 07.05.2015.</t>
  </si>
  <si>
    <t>НТЦ-1 Потапов М.А..</t>
  </si>
  <si>
    <t>ГК №0015187314351010101000048/0563 от 05.01.2000.</t>
  </si>
  <si>
    <t>НТЦ-1 Фарафонтьев Д.В..</t>
  </si>
  <si>
    <t>70.22</t>
  </si>
  <si>
    <t>70.22.16.000</t>
  </si>
  <si>
    <t>ЦКСиСО</t>
  </si>
  <si>
    <t xml:space="preserve">ООО "РТ-Комплектимпекс" </t>
  </si>
  <si>
    <t>0645-00001</t>
  </si>
  <si>
    <t>0645-00001. Оказание услуг по приему, хранению, перевозке и доставке пакетов</t>
  </si>
  <si>
    <t>0645-00002</t>
  </si>
  <si>
    <t xml:space="preserve">0645-00002. Оказание услуг по защите объекта </t>
  </si>
  <si>
    <t>0645-00003</t>
  </si>
  <si>
    <t>0645-00004</t>
  </si>
  <si>
    <t>0645-00005</t>
  </si>
  <si>
    <t>0645-00006</t>
  </si>
  <si>
    <t>0645-00007</t>
  </si>
  <si>
    <t>0645-00008</t>
  </si>
  <si>
    <t>0645-00009</t>
  </si>
  <si>
    <t>0645-00010</t>
  </si>
  <si>
    <t>0645-00011</t>
  </si>
  <si>
    <t>0645-00012</t>
  </si>
  <si>
    <t>0645-00013</t>
  </si>
  <si>
    <t>0645-00014</t>
  </si>
  <si>
    <t>0645-00015</t>
  </si>
  <si>
    <t>0645-00016</t>
  </si>
  <si>
    <t>0645-00017</t>
  </si>
  <si>
    <t>0645-00018</t>
  </si>
  <si>
    <t>0645-00019</t>
  </si>
  <si>
    <t>0645-00020</t>
  </si>
  <si>
    <t>0645-00021</t>
  </si>
  <si>
    <t>0645-00022</t>
  </si>
  <si>
    <t>0645-00023</t>
  </si>
  <si>
    <t>0645-00024</t>
  </si>
  <si>
    <t>0645-00025</t>
  </si>
  <si>
    <t>0645-00026</t>
  </si>
  <si>
    <t>0645-00027</t>
  </si>
  <si>
    <t>0645-00028</t>
  </si>
  <si>
    <t>0645-00029</t>
  </si>
  <si>
    <t>0645-00030</t>
  </si>
  <si>
    <t>0645-00031</t>
  </si>
  <si>
    <t>0645-00032</t>
  </si>
  <si>
    <t>0645-00033</t>
  </si>
  <si>
    <t>0645-00034</t>
  </si>
  <si>
    <t>0645-00035</t>
  </si>
  <si>
    <t>0645-00036</t>
  </si>
  <si>
    <t>0645-00037</t>
  </si>
  <si>
    <t>0645-00038</t>
  </si>
  <si>
    <t>0645-00039</t>
  </si>
  <si>
    <t>0645-00040</t>
  </si>
  <si>
    <t>0645-00041</t>
  </si>
  <si>
    <t>0645-00042</t>
  </si>
  <si>
    <t>0645-00043</t>
  </si>
  <si>
    <t>0645-00044</t>
  </si>
  <si>
    <t>0645-00045</t>
  </si>
  <si>
    <t>0645-00046</t>
  </si>
  <si>
    <t>0645-00047</t>
  </si>
  <si>
    <t>0645-00048</t>
  </si>
  <si>
    <t>0645-00049</t>
  </si>
  <si>
    <t>0645-00050</t>
  </si>
  <si>
    <t>0645-00051</t>
  </si>
  <si>
    <t>0645-00052</t>
  </si>
  <si>
    <t>0645-00053</t>
  </si>
  <si>
    <t>0645-00054</t>
  </si>
  <si>
    <t>0645-00055</t>
  </si>
  <si>
    <t>0645-00056</t>
  </si>
  <si>
    <t>0645-00057</t>
  </si>
  <si>
    <t>0645-00058</t>
  </si>
  <si>
    <t>0645-00059</t>
  </si>
  <si>
    <t>0645-00060</t>
  </si>
  <si>
    <t>0645-00061</t>
  </si>
  <si>
    <t>0645-00062</t>
  </si>
  <si>
    <t>0645-00063</t>
  </si>
  <si>
    <t>0645-00064</t>
  </si>
  <si>
    <t>0645-00065</t>
  </si>
  <si>
    <t>0645-00066</t>
  </si>
  <si>
    <t>0645-00067</t>
  </si>
  <si>
    <t>0645-00068</t>
  </si>
  <si>
    <t>0645-00069</t>
  </si>
  <si>
    <t>0645-00070</t>
  </si>
  <si>
    <t>0645-00071</t>
  </si>
  <si>
    <t>0645-00072</t>
  </si>
  <si>
    <t>0645-00073</t>
  </si>
  <si>
    <t>0645-00074</t>
  </si>
  <si>
    <t>0645-00075</t>
  </si>
  <si>
    <t>0645-00076</t>
  </si>
  <si>
    <t>0645-00077</t>
  </si>
  <si>
    <t>0645-00078</t>
  </si>
  <si>
    <t>0645-00079</t>
  </si>
  <si>
    <t>0645-00080</t>
  </si>
  <si>
    <t>0645-00081</t>
  </si>
  <si>
    <t>0645-00082</t>
  </si>
  <si>
    <t>0645-00083</t>
  </si>
  <si>
    <t>0645-00084</t>
  </si>
  <si>
    <t>0645-00085</t>
  </si>
  <si>
    <t>0645-00086</t>
  </si>
  <si>
    <t>0645-00087</t>
  </si>
  <si>
    <t>0645-00088</t>
  </si>
  <si>
    <t>0645-00089</t>
  </si>
  <si>
    <t>0645-00090</t>
  </si>
  <si>
    <t>0645-00091</t>
  </si>
  <si>
    <t>0645-00092</t>
  </si>
  <si>
    <t>0645-00093</t>
  </si>
  <si>
    <t>0645-00094</t>
  </si>
  <si>
    <t>0645-00095</t>
  </si>
  <si>
    <t>0645-00096</t>
  </si>
  <si>
    <t>0645-00097</t>
  </si>
  <si>
    <t>0645-00098</t>
  </si>
  <si>
    <t>0645-00099</t>
  </si>
  <si>
    <t>0645-00100</t>
  </si>
  <si>
    <t>0645-00101</t>
  </si>
  <si>
    <t>0645-00102</t>
  </si>
  <si>
    <t>0645-00103</t>
  </si>
  <si>
    <t>0645-00104</t>
  </si>
  <si>
    <t>0645-00105</t>
  </si>
  <si>
    <t>0645-00106</t>
  </si>
  <si>
    <t>0645-00107</t>
  </si>
  <si>
    <t>0645-00108</t>
  </si>
  <si>
    <t>0645-00109</t>
  </si>
  <si>
    <t>0645-00110</t>
  </si>
  <si>
    <t>0645-00111</t>
  </si>
  <si>
    <t>0645-00112</t>
  </si>
  <si>
    <t>0645-00113</t>
  </si>
  <si>
    <t>0645-00114</t>
  </si>
  <si>
    <t>0645-00115</t>
  </si>
  <si>
    <t>0645-00116</t>
  </si>
  <si>
    <t>0645-00117</t>
  </si>
  <si>
    <t>0645-00118</t>
  </si>
  <si>
    <t>0645-00119</t>
  </si>
  <si>
    <t>0645-00120</t>
  </si>
  <si>
    <t>0645-00121</t>
  </si>
  <si>
    <t>0645-00122</t>
  </si>
  <si>
    <t>0645-00123</t>
  </si>
  <si>
    <t>0645-00124</t>
  </si>
  <si>
    <t>0645-00125</t>
  </si>
  <si>
    <t>0645-00126</t>
  </si>
  <si>
    <t>0645-00127</t>
  </si>
  <si>
    <t>0645-00128</t>
  </si>
  <si>
    <t>0645-00129</t>
  </si>
  <si>
    <t>0645-00130</t>
  </si>
  <si>
    <t>0645-00131</t>
  </si>
  <si>
    <t>0645-00132</t>
  </si>
  <si>
    <t>0645-00133</t>
  </si>
  <si>
    <t>0645-00134</t>
  </si>
  <si>
    <t>0645-00135</t>
  </si>
  <si>
    <t>0645-00136</t>
  </si>
  <si>
    <t>0645-00137</t>
  </si>
  <si>
    <t>0645-00138</t>
  </si>
  <si>
    <t>0645-00139</t>
  </si>
  <si>
    <t>0645-00140</t>
  </si>
  <si>
    <t>0645-00141</t>
  </si>
  <si>
    <t>0645-00142</t>
  </si>
  <si>
    <t>0645-00143</t>
  </si>
  <si>
    <t>0645-00144</t>
  </si>
  <si>
    <t>0645-00145</t>
  </si>
  <si>
    <t>0645-00146</t>
  </si>
  <si>
    <t>0645-00147</t>
  </si>
  <si>
    <t>0645-00148</t>
  </si>
  <si>
    <t>0645-00149</t>
  </si>
  <si>
    <t>0645-00150</t>
  </si>
  <si>
    <t>0645-00151</t>
  </si>
  <si>
    <t>0645-00152</t>
  </si>
  <si>
    <t>0645-00153</t>
  </si>
  <si>
    <t>0645-00154</t>
  </si>
  <si>
    <t>0645-00155</t>
  </si>
  <si>
    <t>0645-00156</t>
  </si>
  <si>
    <t>0645-00157</t>
  </si>
  <si>
    <t>0645-00158</t>
  </si>
  <si>
    <t>0645-00159</t>
  </si>
  <si>
    <t>0645-00160</t>
  </si>
  <si>
    <t>0645-00161</t>
  </si>
  <si>
    <t>0645-00162</t>
  </si>
  <si>
    <t>0645-00163</t>
  </si>
  <si>
    <t>0645-00164</t>
  </si>
  <si>
    <t>0645-00165</t>
  </si>
  <si>
    <t>0645-00166</t>
  </si>
  <si>
    <t>0645-00167</t>
  </si>
  <si>
    <t>0645-00168</t>
  </si>
  <si>
    <t>0645-00169</t>
  </si>
  <si>
    <t>0645-00170</t>
  </si>
  <si>
    <t>0645-00171</t>
  </si>
  <si>
    <t>0645-00172</t>
  </si>
  <si>
    <t>0645-00173</t>
  </si>
  <si>
    <t>0645-00174</t>
  </si>
  <si>
    <t>0645-00175</t>
  </si>
  <si>
    <t>0645-00176</t>
  </si>
  <si>
    <t>0645-00177</t>
  </si>
  <si>
    <t>0645-00178</t>
  </si>
  <si>
    <t>0645-00179</t>
  </si>
  <si>
    <t>0645-00180</t>
  </si>
  <si>
    <t>0645-00181</t>
  </si>
  <si>
    <t>0645-00182</t>
  </si>
  <si>
    <t>0645-00183</t>
  </si>
  <si>
    <t>0645-00184</t>
  </si>
  <si>
    <t>0645-00185</t>
  </si>
  <si>
    <t>0645-00186</t>
  </si>
  <si>
    <t>0645-00187</t>
  </si>
  <si>
    <t>0645-00188</t>
  </si>
  <si>
    <t>0645-00189</t>
  </si>
  <si>
    <t>0645-00190</t>
  </si>
  <si>
    <t>0645-00191</t>
  </si>
  <si>
    <t>0645-00192</t>
  </si>
  <si>
    <t>0645-00193</t>
  </si>
  <si>
    <t>0645-00194</t>
  </si>
  <si>
    <t>0645-00195</t>
  </si>
  <si>
    <t>0645-00196</t>
  </si>
  <si>
    <t>0645-00197</t>
  </si>
  <si>
    <t>0645-00198</t>
  </si>
  <si>
    <t>0645-00199</t>
  </si>
  <si>
    <t>0645-00003. Оказание услуг  по экстренному выезду наряда полиции при поступлении тревожного извещения</t>
  </si>
  <si>
    <t>0645-00004. Оказание услуг по сервисному обслуживанию оргтехники фирмы Осе Technologies, находящейся в отделе технической документации (ОТД)</t>
  </si>
  <si>
    <t>0645-00005. Оказание услуг по сервисному обслуживанию оргтехники фирмы Canon, находящейся в отделе технической документации (ОТД)</t>
  </si>
  <si>
    <t>0645-00006. Оказание услуг по поверке и калибровке средств измерений</t>
  </si>
  <si>
    <t>0645-00007. Оказание услуг по проведению поверки и калибровки средств измерений</t>
  </si>
  <si>
    <t xml:space="preserve">0645-00008. Поставка оборудования, расходных материалов, выполнение работ по ремонту оборудования ИТП №5 в корпусе № 4 АО "НПО "Импульс" по адресу: СПб, ул. Киришская, д.2, лит. А. </t>
  </si>
  <si>
    <r>
      <t>0645-00009</t>
    </r>
    <r>
      <rPr>
        <b/>
        <sz val="10"/>
        <color rgb="FF000000"/>
        <rFont val="Arial"/>
        <family val="2"/>
        <charset val="204"/>
      </rPr>
      <t xml:space="preserve">. </t>
    </r>
    <r>
      <rPr>
        <sz val="10"/>
        <color rgb="FF000000"/>
        <rFont val="Arial"/>
        <family val="2"/>
        <charset val="204"/>
      </rPr>
      <t>Выполнение работ по ремонту освещения конференц-зала корпуса №5 (2 этаж) с заменой светильников АО "НПО Импульс" по адресу: СПб, ул. Киришская, д.2, лит. А.</t>
    </r>
  </si>
  <si>
    <t>0645-00010. Выполнение работ по перемонтажу оборудования автоматизированной информационно-измерительной системы коммерческого учета электроэнергии в корп.№ 2 АО "НПО Импульс" по адресу: СПб, ул. Киришская, д.2, лит. А.</t>
  </si>
  <si>
    <t>0645-00011. Поставка оборудования, расходных материалов, проведение ремонтных и сопутствующих работ по замене концевых муфт кабелей 10кВ, прокладки новой кабельной линии 10кВ, по замене  магистральных цепей питания ШП и ШУ, по замене вторичных цепей РЗА с проверкой, испытанием и наладкой РЗА, по замене коммутационных аппаратов  и кабелей 0,4кВ, по замене системы контроля сопротивления изоляции в цепях оперативного тока, по замене сети освещения в  РУ-10 кВ в корпусе № 2 АО «НПО «Импульс» по адресу: СПб, ул. Киришская, д.2,  лит.А.</t>
  </si>
  <si>
    <t>0645-00012. Изготовление, поставка 80 противопожарных дверей, 7 противопожарных люков и сопутствующих материалов,  демонтаж существующих дверей, люков, монтаж 80 противопожарных дверей, 7 противопожарных люков, выполнение сопутствующих работ в помещениях, коридорах АО «НПО «Импульс» по адресу: СПб, ул. Киришская, д.2, лит. А.</t>
  </si>
  <si>
    <t>0645-00013. Выполнение работ по замене противопожарных стеновых панелей на сварочном участке РМЦ в корпусе №2  АО "НПО Импульс" по адресу: СПб, ул. Киришская, д.2, лит. А.</t>
  </si>
  <si>
    <t>0645-00014. Выполнение работ по замене  стеновых панелей и половых плит в помещении склада в перемычке между корпусом №1 и корпусом №21 АО "НПО Импульс" по адресу: СПб, ул. Киришская, д.2, лит. А.</t>
  </si>
  <si>
    <t>0645-00015. Изготовление и поставка 23 (двадцати трех) пожарных наружных вертикальных лестниц с демонтажем существующих пожарных лестниц, монтаж изготовленных и поставленных пожарных наружных вертикальных лестниц, грунтовка и окраска смонтированных пожарных наружных вертикальных лестниц по адресам:СПб, АО «НПО «Импульс», ул. Киришская, д. 2, литера А, ул. Обручевых, д.1.</t>
  </si>
  <si>
    <r>
      <t xml:space="preserve">0645-00016. Поставка лифтового оборудования, сопутствующих материалов, выполнение работ по замене лифтовых кабин лифтов № </t>
    </r>
    <r>
      <rPr>
        <sz val="10"/>
        <rFont val="Arial"/>
        <family val="2"/>
        <charset val="204"/>
      </rPr>
      <t>15,16</t>
    </r>
    <r>
      <rPr>
        <sz val="10"/>
        <color rgb="FFFF0000"/>
        <rFont val="Arial"/>
        <family val="2"/>
        <charset val="204"/>
      </rPr>
      <t xml:space="preserve"> </t>
    </r>
    <r>
      <rPr>
        <sz val="10"/>
        <color theme="1"/>
        <rFont val="Arial"/>
        <family val="2"/>
        <charset val="204"/>
      </rPr>
      <t>в корпусе № 21 АО "НПО "Импульс" по адресу: СПб, ул. Киришская, д.2, лит. А.</t>
    </r>
  </si>
  <si>
    <t>0645-00017. Выполнение работ по ремонту ГПМ на  очистных сооружениях в корпусе №2 АО "НПО "Импульс" по адресу: 
г. Санкт-Петербург,  ул. Киришская, д.2  литера «А».</t>
  </si>
  <si>
    <t>0645-00018. Поставка оборудования, расходных материалов, монтажные и пусконаладочные работы дополнительного оборудования автоматической установки  пожаротушения зала № 7 АО "НПО "Импульс" по адресу: г. Санкт-Петербург, ул. Киришская, д. 2 литера "А".</t>
  </si>
  <si>
    <r>
      <t>0645-00019. Разработка</t>
    </r>
    <r>
      <rPr>
        <sz val="10"/>
        <rFont val="Arial"/>
        <family val="2"/>
        <charset val="204"/>
      </rPr>
      <t xml:space="preserve"> рабочей </t>
    </r>
    <r>
      <rPr>
        <sz val="10"/>
        <color theme="1"/>
        <rFont val="Arial"/>
        <family val="2"/>
        <charset val="204"/>
      </rPr>
      <t>документации по созданию АПС и СОУЭ лит."З" пл.№ 1  АО "НПО "Импульс" по адресу: Санкт-Петербург, ул. Обручевых, д.1</t>
    </r>
  </si>
  <si>
    <t xml:space="preserve">0645-00020. Поставка оборудования, расходных материалов,  выполнение монтажных и сопутствующих работ по созданию АПС и СОУЭ лит."З" пл.№ 1  АО "НПО "Импульс" по адресу: Санкт-Петербург, ул. Обручевых, д.1
</t>
  </si>
  <si>
    <t xml:space="preserve">0645-00021. Поставка оборудования, расходных материалов,  выполнение работ по монтажу системы дымоудаления корпуса № 6В на 1-13, 17 этажах АО «НПО «Импульс» по адресу: 
г. Санкт-Петербург,  ул. Киришская, д.2  литера «А».
</t>
  </si>
  <si>
    <t>0645-00022. Поставка оборудования, расходных материалов,  выполнение работ по монтажу системы дымоудаления в корпусе 21: на 2, ½-3, ½-4, 8  этажах АО «НПО «Импульс» по адресу: г.Санкт-Петербург, ул. Киришская, д.2, литера "А".</t>
  </si>
  <si>
    <t>0645-00023. Разработка рабочей документации системы дымоудаления корпуса № 5 АО «НПО «Импульс» по адресу: г. Санкт-Петербург, ул. Киришская, д.2, литера «А»</t>
  </si>
  <si>
    <t>0645-00024. Поставка оборудования, расходных материалов,  выполнение работ по монтажу системы дымоудаления корпуса № 5 АО "НПО "Импульс" по адресу: г. Санкт-Петербург, ул. Киришская, д.2, литера «А»</t>
  </si>
  <si>
    <t>0645-00025. Разработка рабочей документации по реконструкции системы вентиляции залов СГК № 1, 2, 3, 4, ОКН АО "НПО "Импульс" по адресу: г. Санкт-Петербург, ул. Киришская, д. 2, литера "А".</t>
  </si>
  <si>
    <t>0645-00026. Поставка оборудования, расходных материалов, выполнение работ по реконструкции системы вентиляции залов СГК № 1, 2, 3, 4, ОКН АО «НПО «Импульс» по адресу: г. Санкт-Петербург, ул. Киришская, д. 2, литера «А».</t>
  </si>
  <si>
    <r>
      <t xml:space="preserve">0645-00027. Разработка </t>
    </r>
    <r>
      <rPr>
        <sz val="10"/>
        <rFont val="Arial"/>
        <family val="2"/>
        <charset val="204"/>
      </rPr>
      <t>рабочей документации подпор</t>
    </r>
    <r>
      <rPr>
        <sz val="10"/>
        <color theme="1"/>
        <rFont val="Arial"/>
        <family val="2"/>
        <charset val="204"/>
      </rPr>
      <t>а воздуха в шахту пожарного лифта в корпусе 6В  АО "НПО "Импульс" по адресу: г. Санкт-Петербург, ул. Киришская, д.2, литера "А".</t>
    </r>
  </si>
  <si>
    <t>0645-00028. Поставка оборудования, расходных материалов, выполнение работ по монтажу подпора воздуха в шахту пожарного лифта в корпусе 6В АО "НПО "Импульс" по адресу: г. Санкт-Петербург, ул. Киришская, д.2, литера "А".</t>
  </si>
  <si>
    <t>0645-00029. Поставка оборудования, расходных материалов, выполнение работ по монтажу вакуум-фильтра на участке очистных сооружений в корпусе №2 АО "НПО "Импульс" по адресу: г. Санкт-Петербург, ул. Киришская, д.2, литера "А".</t>
  </si>
  <si>
    <t>0645-00030. Поставка оборудования, расходных материалов,  выполнение работ по монтажу системы заземления 6В АО "НПО «Импульс" по адресу: г. Санкт-Петербург, ул. Киришская, д.2, литера "А".</t>
  </si>
  <si>
    <t>0645-00031. Поставка оборудования, расходных материалов, выполнение работ по реконструкции системы освещения залов СГК № 1, 2, 3,4, ОКН АО "НПО "Импульс" по адресу: г. Санкт-Петербург, ул. Киришская, д.2, литера "А".</t>
  </si>
  <si>
    <t>0645-00032. Выполнение работ, связанных с "Целевой программой по обеспечению противопожарной защиты АО"НПО Импульс" в 2016 г.</t>
  </si>
  <si>
    <t>0645-00033. Разработка проектной документации системы оповещения (ОСО)  ГО и ЧС площадки №4 АО "НПО "Импульс"по адресу: г. Санкт-Петербург, ул. Киришская, д.2, литера "А"</t>
  </si>
  <si>
    <t>0645-00034. Поставка оборудования, расходных материалов и работы по монтажу системы оповещения (ОСО)  ГО и ЧС площадки №4 АО "НПО "Импульс"по адресу: г. Санкт-Петербург, ул. Киришская, д.2, литера "А"</t>
  </si>
  <si>
    <t>0645-00035. Оказание услуг по техническому обслуживанию вентиляционной приточно-вытяжной системы, систем кондиционирования, сплит-систем АО "НПО "Импульс" по адресу:   г. Санкт-Петербург, ул. Киришская, д.2, литера "А".</t>
  </si>
  <si>
    <t>0645-00036. Оказание услуг по  техническому обслуживанию   компрессора CECCATO CSD-75 и компрессора Atlas Copco GA 30  АО "НПО "Импульс" по адресу:  г. Санкт-Петербург, ул. Киришская, д. 2 литера "А".</t>
  </si>
  <si>
    <t>0645-00037. Оказание услуг по чистке наружной и внутриплощадочной канализации пл. №4 АО "НПО "Импульс"по адресу: г. Санкт-Петербург, ул. Киришская, д.2, литера "А".</t>
  </si>
  <si>
    <t xml:space="preserve">0645-00038. Оказание услуг по техническому обслуживанию системы контроля и управления доступом и системы видеонаблюдения АО "НПО "Импульс" по адресам: г. Санкт-Петербург, ул. Киришская д.2, лит. А, ул. Обручевых д.1  </t>
  </si>
  <si>
    <t>0645-00039. Техническое освидетельствование лифтов АО "НПО "Импульс" по адресу:   г. Санкт-Петербург, ул. Киришская, д.2, литера "А"</t>
  </si>
  <si>
    <t xml:space="preserve">0645-00040. Проведение  энергетического обследования и составление энергетического паспорта АО "НПО "Импульс" </t>
  </si>
  <si>
    <t>0645-00041. Оказание услуг по сервисному обслуживанию автоматов очистки воды на пл. №4 АО "НПО "Импульс" по адресу:                 г. Санкт-Петербург, ул. Киришская, д.2, литера "А"</t>
  </si>
  <si>
    <t>0645-00042. Обслуживание, ремонт огнетушителей, продажа коплектующих и новых порошковых и углекислотных огнетушителей.</t>
  </si>
  <si>
    <t>0645-00043. Проведение зкспертизы кран-балок АО "НПО "Импульс"</t>
  </si>
  <si>
    <t>0645-00044. Организация подготовки, прведения комплекса работ по обеспечению участия НПО "Импульс" в форуме "Армия-2017"</t>
  </si>
  <si>
    <t xml:space="preserve">0645-00045.  Поставка резисторов  </t>
  </si>
  <si>
    <t xml:space="preserve"> 0645-00046. Поставка резисторов  </t>
  </si>
  <si>
    <t xml:space="preserve"> 0645-00047. Поставка резисторов  </t>
  </si>
  <si>
    <t xml:space="preserve"> 0645-00048. Поставка конденсаторов и фильтров</t>
  </si>
  <si>
    <t xml:space="preserve"> 0645-00049. Поставка конденсаторов</t>
  </si>
  <si>
    <t xml:space="preserve"> 0645-00050. Поставка конденсаторов и фильтров</t>
  </si>
  <si>
    <t xml:space="preserve"> 0645-00051. Поставка конденсаторов</t>
  </si>
  <si>
    <t xml:space="preserve"> 0645-00052. Поставка конденсаторов</t>
  </si>
  <si>
    <t xml:space="preserve"> 0645-00053. Поставка микросхем и полупроводниковых приборов</t>
  </si>
  <si>
    <t>0645-00054.  Поставка микросхем и полупроводниковых приборов</t>
  </si>
  <si>
    <t>0645-00055.  Поставка микросхем и полупроводниковых приборов</t>
  </si>
  <si>
    <t xml:space="preserve"> 0645-00056. Поставка микросхем и полупроводниковых приборов</t>
  </si>
  <si>
    <t>0645-00057.  Поставка микросхем и полупроводниковых приборов</t>
  </si>
  <si>
    <t xml:space="preserve"> 0645-00058. Поставка микросхем и полупроводниковых приборов</t>
  </si>
  <si>
    <t xml:space="preserve"> 0645-00059. Поставка микросхем и полупроводниковых приборов</t>
  </si>
  <si>
    <t xml:space="preserve"> 0645-00060. Поставка микросхем и полупроводниковых приборов</t>
  </si>
  <si>
    <t>0645-00061.  Поставка микросхем и полупроводниковых приборов</t>
  </si>
  <si>
    <t xml:space="preserve"> 0645-00062. Поставка микросхем и полупроводниковых приборов</t>
  </si>
  <si>
    <t xml:space="preserve"> 0645-00063. Поставка микросхем и полупроводниковых приборов</t>
  </si>
  <si>
    <t xml:space="preserve"> 0645-00064. Поставка микросхем и полупроводниковых приборов</t>
  </si>
  <si>
    <t xml:space="preserve"> 0645-00065. Поставка микросхем и полупроводниковых приборов</t>
  </si>
  <si>
    <t xml:space="preserve"> 0645-00066. Поставка микросхем и полупроводниковых приборов</t>
  </si>
  <si>
    <t xml:space="preserve"> 0645-00067. Поставка микросхем</t>
  </si>
  <si>
    <t>0645-00068.  Поставка микросхем</t>
  </si>
  <si>
    <t xml:space="preserve"> 0645-00069. Поставка микросхем</t>
  </si>
  <si>
    <t>0645-00070.  Поставка микросхем</t>
  </si>
  <si>
    <t xml:space="preserve"> 0645-00071. Поставка микросхем</t>
  </si>
  <si>
    <t xml:space="preserve"> 0645-00072. Поставка микросхем</t>
  </si>
  <si>
    <t xml:space="preserve"> 0645-00073. Поставка микросхем</t>
  </si>
  <si>
    <t xml:space="preserve"> 0645-00074. Поставка микросхем</t>
  </si>
  <si>
    <t xml:space="preserve"> 0645-00075. Поставка микросхем</t>
  </si>
  <si>
    <t xml:space="preserve"> 0645-00076. Поставка микросхем</t>
  </si>
  <si>
    <t xml:space="preserve"> 0645-00077. Поставка микросхем</t>
  </si>
  <si>
    <t xml:space="preserve"> 0645-00078. Поставка кварцевых генераторов</t>
  </si>
  <si>
    <t xml:space="preserve">   0645-00079. Поставка кварцевых генераторов</t>
  </si>
  <si>
    <t xml:space="preserve">  0645-00080. Поставка кварцевых генераторов</t>
  </si>
  <si>
    <t xml:space="preserve"> 0645-00081.  Поставка кварцевых генераторов</t>
  </si>
  <si>
    <t xml:space="preserve">  0645-00082. Поставка соединителей</t>
  </si>
  <si>
    <t xml:space="preserve">  0645-00083. Поставка соединителей и установочных изделий</t>
  </si>
  <si>
    <t xml:space="preserve">  0645-00084. Поставка соединителей</t>
  </si>
  <si>
    <t xml:space="preserve">  0645-00085. Поставка соединителей и установочных изделий</t>
  </si>
  <si>
    <t xml:space="preserve">  0645-00086. Поставка соединителей</t>
  </si>
  <si>
    <t xml:space="preserve">  0645-00087. Поставка электрорадиоизделий</t>
  </si>
  <si>
    <t xml:space="preserve">  0645-00088. Поставка электрорадиоизделий</t>
  </si>
  <si>
    <t xml:space="preserve">  0645-00089. Поставка электрорадиоизделий</t>
  </si>
  <si>
    <t xml:space="preserve">  0645-00090. Поставка электрорадиоизделий</t>
  </si>
  <si>
    <t xml:space="preserve">  0645-00091. Поставка электрорадиоизделий</t>
  </si>
  <si>
    <t>0645-00092.  Поставка модулей вторичного электропитания</t>
  </si>
  <si>
    <t xml:space="preserve"> 0645-00093. Поставка модулей вторичного электропитания</t>
  </si>
  <si>
    <t xml:space="preserve"> 0645-00094. Поставка модулей вторичного электропитания</t>
  </si>
  <si>
    <t xml:space="preserve"> 0645-00095. Поставка модулей вторичного электропитания</t>
  </si>
  <si>
    <t xml:space="preserve"> 0645-00096. Поставка модулей вторичного электропитания</t>
  </si>
  <si>
    <t xml:space="preserve"> 0645-00097. Поставка источников вторичного электропитания</t>
  </si>
  <si>
    <t xml:space="preserve"> 0645-00098. Поставка источников вторичного электропитания</t>
  </si>
  <si>
    <t xml:space="preserve">  0645-00099. Поставка соединителей</t>
  </si>
  <si>
    <t xml:space="preserve"> 0645-00100.  Поставка кварцевых генераторов</t>
  </si>
  <si>
    <t xml:space="preserve"> 0645-00101. Поставка кварцевых генераторов и резонаторов</t>
  </si>
  <si>
    <t xml:space="preserve">  0645-00102. Поставка соединителей</t>
  </si>
  <si>
    <t xml:space="preserve">  0645-00103. Поставка соединителей</t>
  </si>
  <si>
    <t xml:space="preserve">  0645-00104. Поставка реле</t>
  </si>
  <si>
    <t xml:space="preserve">  0645-00105. Поставка реле</t>
  </si>
  <si>
    <t xml:space="preserve">  0645-00106. Поставка трансформаторов низкочастотных</t>
  </si>
  <si>
    <t xml:space="preserve">  0645-00107. Поставка трансформаторов импульсных</t>
  </si>
  <si>
    <t xml:space="preserve">  0645-00108. Поставка трансформаторов импульсных</t>
  </si>
  <si>
    <t xml:space="preserve">  0645-00109. Поставка соединителей</t>
  </si>
  <si>
    <t xml:space="preserve">  0645-00110. Поставка соединителей</t>
  </si>
  <si>
    <t xml:space="preserve">  0645-00111. Поставка соединителей</t>
  </si>
  <si>
    <t xml:space="preserve">  0645-00112. Поставка соединителей</t>
  </si>
  <si>
    <t xml:space="preserve">  0645-00113. Поставка соединителей</t>
  </si>
  <si>
    <t xml:space="preserve">  0645-00114. Поставка соединителей</t>
  </si>
  <si>
    <t xml:space="preserve"> 0645-00115. Поставка микросхем</t>
  </si>
  <si>
    <t xml:space="preserve"> 0645-00116. Поставка микросхем</t>
  </si>
  <si>
    <t xml:space="preserve"> 0645-00117. Поставка электровентиляторов</t>
  </si>
  <si>
    <t xml:space="preserve">  0645-00118. Поставка соединителей</t>
  </si>
  <si>
    <t xml:space="preserve">  0645-00119. Поставка соединителей</t>
  </si>
  <si>
    <t xml:space="preserve">  0645-00120. Поставка соединителей</t>
  </si>
  <si>
    <t xml:space="preserve"> 0645-00121. Поставка материалов для изготовления кабельных изделий</t>
  </si>
  <si>
    <t xml:space="preserve"> 0645-00122. Поставка материалов для изготовления кабельных изделий</t>
  </si>
  <si>
    <t xml:space="preserve"> 0645-00123. Поставка расходных материалов для МФУ</t>
  </si>
  <si>
    <t xml:space="preserve"> 0645-00124. Поставка бумажной продукции</t>
  </si>
  <si>
    <t>0645-00125. Поставка бумажной продукции</t>
  </si>
  <si>
    <t xml:space="preserve"> 0645-00126. Поставка черного металлопроката</t>
  </si>
  <si>
    <t>0645-00127. Поставка черного металлопроката</t>
  </si>
  <si>
    <t xml:space="preserve"> 0645-00128. Поставка цветного металлопроката</t>
  </si>
  <si>
    <t>0645-00129. Поставка цветного металлопроката</t>
  </si>
  <si>
    <t>0645-00130.  Поставка спецодежды</t>
  </si>
  <si>
    <t xml:space="preserve"> 0645-00131. Поставка спецодежды</t>
  </si>
  <si>
    <t>0645-00132. Приобретение проездных билетов на электронных носителях</t>
  </si>
  <si>
    <t>0645-00134. Послевузовское профессиональное образование (обучение в аспирантуре)</t>
  </si>
  <si>
    <t>0645-00135. Обучение в образовательных учреждениях высшего профессионального образования (высшее образование, заочная форма обучения)</t>
  </si>
  <si>
    <t>0645-00136. Обучение в образовательных учреждениях высшего профессионального образования (высшее образование, очная ускоренная форма обучения после окончания колледжа)</t>
  </si>
  <si>
    <t>0645-00137. Обучение в образовательных учреждениях среднего профессионального образования (среднее профессиональное образование, заочная форма обучения)</t>
  </si>
  <si>
    <t>0645-00138. Обучение в образовательных учреждениях дополнительного профессионального образования (повышение квалификации)</t>
  </si>
  <si>
    <t>0645-00139. Проведение корпоративных мероприятий в рамках молодёжной политики</t>
  </si>
  <si>
    <t>0645-00140. Оказание услуг по организации санитарно-курортный отдых сотрудников</t>
  </si>
  <si>
    <t xml:space="preserve">0645-00141. Оказание спортивно-оздоровительных услуг </t>
  </si>
  <si>
    <t>0645-00142. Выполнение работ по вывозу снега с территорий подконтрольных АО"НПО"Импульс"</t>
  </si>
  <si>
    <t>0645-00143. Оказание услуг по удалению отходов(мусор) с территорий предприятия</t>
  </si>
  <si>
    <t xml:space="preserve">0645-00144. Выполнение работ по профилактической дезинсекции </t>
  </si>
  <si>
    <t>0645-00145. Оказание услуг добровольное медицинское страхование сотрудников предприятия</t>
  </si>
  <si>
    <t xml:space="preserve"> 0645-00146. Выполнение работ по разработке и внедрению системы автоматизации финансового блока предприятия на основе 1С ЕКК</t>
  </si>
  <si>
    <t xml:space="preserve"> 0645-00147. Выполнение ремонтных работ оргтехники и СВТ</t>
  </si>
  <si>
    <t>0645-00148. Постака новых расходных материалов печати</t>
  </si>
  <si>
    <t>0645-00149. Поставка автоматизированных рабочих мест</t>
  </si>
  <si>
    <t>0645-00150. Поставка и сопровождение общесистемного, инфраструктурного ПО (системы контроля обслуживания службы технической поддержки)</t>
  </si>
  <si>
    <t>0645-00151. Оказание услуг стационарной связи</t>
  </si>
  <si>
    <t>0645-00152. Оказание услуг мобильной связи</t>
  </si>
  <si>
    <t>0645-00153. Оказание услуг аренды каналов</t>
  </si>
  <si>
    <t>0645-00154. Оказание услуг доступа к сети интернет</t>
  </si>
  <si>
    <t>0645-00155. Поставка расходных материалов для МФУ</t>
  </si>
  <si>
    <t>0645-00156. Постака антивирусного программного обеспечения с поддержкой 1 год
(Symantec EndpointProtection 12)</t>
  </si>
  <si>
    <t>0645-00157. Оказание услуг по сопровождению АС ЕКК</t>
  </si>
  <si>
    <t>0645-00158. Постака автоматизированных рабочих мест для модернизации ЗЛВС</t>
  </si>
  <si>
    <t>0645-00159.  Постака автоматизированных рабочих мест</t>
  </si>
  <si>
    <t>0645-00160. Постака пассивного сетевого оборудования для развертывания сегмента на территории СГК</t>
  </si>
  <si>
    <t>0645-00161. Постака  оборудования для модернизации локальной сети</t>
  </si>
  <si>
    <t>0645-00162. Постака автоматизированных рабочих мест</t>
  </si>
  <si>
    <t>0645-00163. Поставка средств печати (МФУ Kyocera ECOSYS M2535DN)</t>
  </si>
  <si>
    <t>0645-00164. Поставка автоматизированных рабочих мест</t>
  </si>
  <si>
    <t>0645-00165. Поставка лицензионного программного обеспечения (Microsoft Office std 2013 OLP)</t>
  </si>
  <si>
    <t>0645-00166. Постака автоматизированных рабочих мест</t>
  </si>
  <si>
    <t xml:space="preserve"> 0645-00167. Постака оборудования для модернизации открытого ЦОД</t>
  </si>
  <si>
    <t xml:space="preserve"> 0645-00168. Поставка лицензионного программного обеспечения (СЭД Directum)</t>
  </si>
  <si>
    <t>0645-00169. Поставка лицензионного программного обеспечения (СЭД Аскон Лоцман)</t>
  </si>
  <si>
    <t>0645-00170. Поставка программного обеспечения для нужд акционерного общества «НПО «Импульс»</t>
  </si>
  <si>
    <t>0645-00171. Поставка программного обеспечения для нужд акционерного общества «НПО «Импульс»</t>
  </si>
  <si>
    <t>0645-00172. Поставка оборудования для нужд акционерного общества «НПО «Импульс»</t>
  </si>
  <si>
    <t>0645-00173. Поставка оборудования для нужд акционерного общества «НПО «Импульс»</t>
  </si>
  <si>
    <t>0645-00175. Проведение сертификационных испытаний изделия 7т3-И ИМНЕ.461261.017 на соответствие криптографическим, инженерно-криптографическим и специальным требованиям</t>
  </si>
  <si>
    <t>0645-00175. Проведение сертификационных испытаний изделия 7т3-И ИМНЕ.461261.017 на соответствие требованиям по контролю отсутствия недекларированных вожможностей</t>
  </si>
  <si>
    <t>0645-00176. Проведение специальных работ с ОШС</t>
  </si>
  <si>
    <t>0645-00177. Сертификация СПО издлия КСА-МТ</t>
  </si>
  <si>
    <t>0645-00178. Проведение сертификационных испытаний изделия КСА-МТ по специальным вопросам</t>
  </si>
  <si>
    <t xml:space="preserve">0645-00179. Корректировка БИС по результатам КОИ и ЭРТИ. </t>
  </si>
  <si>
    <t>0645-00180. Испытания изделия 15Э1827 (в части блока БВМ)</t>
  </si>
  <si>
    <t>0645-00181. ТИ изделия 14Р735</t>
  </si>
  <si>
    <t>0645-00182. Проверки БИС БМК</t>
  </si>
  <si>
    <t>0645-00183. Оказание услуг по проведению сертификационных испытаний изделия 15Н1953 ИМНЕ.461111.053 по специальным вопросам</t>
  </si>
  <si>
    <t>0645-00184. Проведение сертификационных испытаний изд.1953 в части проверки соответствия недекларированных возможностей. Разработка и отправка в Восьмое управление ГШ ВС РФ Технического заключения о соответствии изд.1953 требованиям по безопасности информации.</t>
  </si>
  <si>
    <t>0645-00185. Проведение сертификационных испытаний изделия 7т3-И ИМНЕ.461261.017 на соответствие криптографическим, инженерно-криптографическим и специальным требованиям</t>
  </si>
  <si>
    <t>0645-00186. Проведение сертификационных испытаний изделия 7т3-И ИМНЕ.461261.017 на соответствие требованиям по контролю отсутствия недекларированных вожможностей</t>
  </si>
  <si>
    <t>0645-00187. Проведение специальных работ с ОШС</t>
  </si>
  <si>
    <t>0645-00188. Проведение специальных работ с ОШС изделия 1889М</t>
  </si>
  <si>
    <t>0645-00189. Проведение специальных работ с ОШС изделия 1890М</t>
  </si>
  <si>
    <t>0645-00190. Проведение специальных работ с ОШС изделия 1891М</t>
  </si>
  <si>
    <t>0645-00191. Сертификация ПО изделия 1889М</t>
  </si>
  <si>
    <t>0645-00192. Сертификация ПО изделия 1890М</t>
  </si>
  <si>
    <t>0645-00193. Сертификация ПО изделия 1891М</t>
  </si>
  <si>
    <t>0645-00194. Проведение сертификационных испытаний изделия 1889М по специальным вопросам</t>
  </si>
  <si>
    <t>0645-00195. Проведение сертификационных испытаний изделия 1890М по специальным вопросам</t>
  </si>
  <si>
    <t>0645-00196. Проведение сертификационных испытаний изделия 1891М по специальным вопросам</t>
  </si>
  <si>
    <t>0645-00197. Проведение сертификационных испытаний изделия 1888-01 по специальным вопросам</t>
  </si>
  <si>
    <t>0645-00198. Сертификация ПО изделия 1888-01</t>
  </si>
  <si>
    <t>0645-00199. Оказание услуг по проведению закупочных процедур</t>
  </si>
  <si>
    <t>организовать и провести от имени и за счет заказчика процедуры закупки способами и формами в соответствии с ЕПоЗ корпрации «Ростех» и  Распоряжением Корпорации от 23.07.2015 № 108</t>
  </si>
  <si>
    <t>Наличие у поставщика собственной технической и сетевой инфраструктуры, собственной круглосуточной службы поддержки клиентов</t>
  </si>
  <si>
    <t>Годовое сопровождение и модернизация</t>
  </si>
  <si>
    <t>ФГБОУ ВПО "Балтийский государственный технический университет "ВОЕНМЕХ" им. Д.Ф. Устинова</t>
  </si>
  <si>
    <t>0645-00133. 00Оказание услуг по проведению обязательного ежегодного аудита бухгалтерской (финансовой) отчетности АО «НПО «Импульс» за 2017 год.</t>
  </si>
  <si>
    <t>1800000.00</t>
  </si>
  <si>
    <t>ООО "РТ-ИНФОРМ"</t>
  </si>
  <si>
    <t>65.12.3</t>
  </si>
  <si>
    <t>65.12.21</t>
  </si>
  <si>
    <t>Иметь представительство/филиал в г. Санкт-Петербург , отсутствие сведений об участнике процедуры закупки в реестре недобросовестных поставщиков</t>
  </si>
  <si>
    <t>расходы на страхование</t>
  </si>
  <si>
    <t>Автотранспортный цех Малинов Александр Сергеевич 297-30-23</t>
  </si>
  <si>
    <t>ООО "СБ "РТ-Страхование"</t>
  </si>
  <si>
    <t>65.12.2</t>
  </si>
  <si>
    <t>65.12.29</t>
  </si>
  <si>
    <t>45.11</t>
  </si>
  <si>
    <t>Произведен в РФ, грузо-пассажирский фургон категории В</t>
  </si>
  <si>
    <t>амортизационные отчисления</t>
  </si>
  <si>
    <t>Произведен в РФ, седан категории В</t>
  </si>
  <si>
    <t>0645-00200</t>
  </si>
  <si>
    <t>0645-00201</t>
  </si>
  <si>
    <t>0645-00202</t>
  </si>
  <si>
    <t>0645-00203</t>
  </si>
  <si>
    <t>0645-00201. Оказание услуг по добровольному страхованию автотранспорта</t>
  </si>
  <si>
    <t>0645-00200. Оказание услуг по обязательному страхованию гражданской ответственности владельцев транспортных средств</t>
  </si>
  <si>
    <t>0645-00202. Поставка легкового автомобиля</t>
  </si>
  <si>
    <t>0645-00203. Поставка легкового автомобиля</t>
  </si>
  <si>
    <t xml:space="preserve">Нет </t>
  </si>
  <si>
    <t>62.09</t>
  </si>
  <si>
    <t xml:space="preserve">62.02.20 </t>
  </si>
  <si>
    <t>Наличие действующего сертификата Регионального информационного центра общероссийской сети распространения  правовой информации КонсультантПлюс</t>
  </si>
  <si>
    <t>Собственные средства заказчика</t>
  </si>
  <si>
    <t>6.6.2 (31)</t>
  </si>
  <si>
    <t>ООО М-СТАЙЛ</t>
  </si>
  <si>
    <t>Юридическое бюро Алексеев Д.А.</t>
  </si>
  <si>
    <t>0645-00204</t>
  </si>
  <si>
    <t>0645-00204. Оказание услуг по информационному обслуживанию с использованием экземпляра(ов) "системы КонсультантПлюс" с 01.01.2017 по 31.12.2017</t>
  </si>
  <si>
    <t>0645-310 РПЗ 2016</t>
  </si>
  <si>
    <t>80.20</t>
  </si>
  <si>
    <t>80.20.10</t>
  </si>
  <si>
    <t xml:space="preserve">Техническое обслуживание системы автоматической охранно-пожарной сигнализации, речевого оповещения и эвакуации, системы противопожарного водопровода, пожарных гидрантов, системы дымоудаления, системы подпора воздуха лифтовых шахт, системы управления лифтами и систем спринклерного, аэрозольного, порошкового пожаротушения на объектах Заказчика, АО «НПО «Импульс»,  расположенных по адресам: г. Санкт-Петербург, ул. Киришская д.2, лит. А, ул. Обручевых д.1 </t>
  </si>
  <si>
    <t>Работы должны выполняться в соотвествии с требованиями Технического регламента пожарной безопасности от 22.07.2008 г. № 123-ФЗ , РД-009-01-96 и РД-009-02-96,  а также другими действующими нормативно-правовыми актами РФ.</t>
  </si>
  <si>
    <t xml:space="preserve">Расходы на содержание (ст.2641-15 %,
ст. 250120 - 39 %,
ст. 250120 - 46 %.)
</t>
  </si>
  <si>
    <t>0645-00205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</si>
</sst>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р_._-;\-* #,##0.00_р_._-;_-* &quot;-&quot;??_р_._-;_-@_-"/>
    <numFmt numFmtId="165" formatCode="#,##0.00_р_."/>
    <numFmt numFmtId="166" formatCode="[$-419]mmmm\ yyyy;@"/>
    <numFmt numFmtId="167" formatCode="#\ ###.00_р_."/>
    <numFmt numFmtId="168" formatCode="#\ ###\ ###\ ###\ ##0.00_р_."/>
    <numFmt numFmtId="169" formatCode="#,##0.00_)&quot;Российских Рублей&quot;"/>
    <numFmt numFmtId="170" formatCode="mmmm\ yyyy;@"/>
    <numFmt numFmtId="171" formatCode="0.0"/>
  </numFmts>
  <fonts count="33" x14ac:knownFonts="1">
    <font>
      <sz val="11"/>
      <color theme="1"/>
      <name val="Calibri"/>
      <family val="2"/>
      <charset val="204"/>
      <scheme val="minor"/>
    </font>
    <font>
      <b/>
      <sz val="10"/>
      <color rgb="FF000080"/>
      <name val="Arial"/>
      <family val="2"/>
      <charset val="204"/>
    </font>
    <font>
      <sz val="10"/>
      <color rgb="FF000000"/>
      <name val="Arial"/>
      <family val="2"/>
      <charset val="204"/>
    </font>
    <font>
      <sz val="11"/>
      <color theme="1"/>
      <name val="Calibri"/>
      <family val="2"/>
      <charset val="204"/>
      <scheme val="minor"/>
    </font>
    <font>
      <b/>
      <sz val="10"/>
      <color rgb="FF000000"/>
      <name val="Arial"/>
      <family val="2"/>
      <charset val="204"/>
    </font>
    <font>
      <b/>
      <sz val="10"/>
      <name val="Arial"/>
      <family val="2"/>
      <charset val="204"/>
    </font>
    <font>
      <sz val="10"/>
      <color theme="1"/>
      <name val="Calibri"/>
      <family val="2"/>
      <charset val="204"/>
      <scheme val="minor"/>
    </font>
    <font>
      <b/>
      <sz val="10"/>
      <color theme="1"/>
      <name val="Calibri"/>
      <family val="2"/>
      <charset val="204"/>
      <scheme val="minor"/>
    </font>
    <font>
      <sz val="10"/>
      <color theme="1"/>
      <name val="Arial"/>
      <family val="2"/>
      <charset val="204"/>
    </font>
    <font>
      <sz val="11"/>
      <color theme="1"/>
      <name val="Calibri"/>
      <family val="2"/>
      <charset val="204"/>
    </font>
    <font>
      <b/>
      <sz val="10"/>
      <color rgb="FF000000"/>
      <name val="Calibri"/>
      <family val="2"/>
      <charset val="204"/>
    </font>
    <font>
      <sz val="10"/>
      <color rgb="FF000000"/>
      <name val="Calibri"/>
      <family val="2"/>
      <charset val="204"/>
    </font>
    <font>
      <sz val="10"/>
      <color rgb="FF000000"/>
      <name val="Times New Roman"/>
      <family val="1"/>
      <charset val="204"/>
    </font>
    <font>
      <sz val="11"/>
      <color rgb="FF000000"/>
      <name val="Calibri"/>
      <family val="2"/>
      <charset val="204"/>
    </font>
    <font>
      <u/>
      <sz val="11"/>
      <color theme="10"/>
      <name val="Calibri"/>
      <family val="2"/>
      <charset val="204"/>
    </font>
    <font>
      <sz val="10"/>
      <name val="Arial Cyr"/>
      <charset val="204"/>
    </font>
    <font>
      <sz val="11"/>
      <color indexed="8"/>
      <name val="Calibri"/>
      <family val="2"/>
      <charset val="204"/>
    </font>
    <font>
      <sz val="10"/>
      <name val="Arial"/>
      <family val="2"/>
      <charset val="204"/>
    </font>
    <font>
      <sz val="10"/>
      <name val="Helv"/>
    </font>
    <font>
      <sz val="11"/>
      <color theme="1"/>
      <name val="Calibri"/>
      <family val="2"/>
      <scheme val="minor"/>
    </font>
    <font>
      <sz val="10"/>
      <color theme="1" tint="0.499984740745262"/>
      <name val="Arial"/>
      <family val="2"/>
      <charset val="204"/>
    </font>
    <font>
      <b/>
      <sz val="9"/>
      <color rgb="FF000000"/>
      <name val="Arial"/>
      <family val="2"/>
      <charset val="204"/>
    </font>
    <font>
      <b/>
      <sz val="9"/>
      <color theme="1" tint="0.499984740745262"/>
      <name val="Arial"/>
      <family val="2"/>
      <charset val="204"/>
    </font>
    <font>
      <sz val="9"/>
      <color theme="1"/>
      <name val="Calibri"/>
      <family val="2"/>
      <charset val="204"/>
      <scheme val="minor"/>
    </font>
    <font>
      <sz val="10"/>
      <name val="Arial Cyr"/>
      <family val="2"/>
      <charset val="204"/>
    </font>
    <font>
      <u/>
      <sz val="11"/>
      <color theme="10"/>
      <name val="Calibri"/>
      <family val="2"/>
      <charset val="204"/>
      <scheme val="minor"/>
    </font>
    <font>
      <u/>
      <sz val="10"/>
      <name val="Arial"/>
      <family val="2"/>
      <charset val="204"/>
    </font>
    <font>
      <sz val="10"/>
      <color rgb="FFFF0000"/>
      <name val="Arial"/>
      <family val="2"/>
      <charset val="204"/>
    </font>
    <font>
      <sz val="10"/>
      <color indexed="8"/>
      <name val="Arial"/>
      <family val="2"/>
      <charset val="204"/>
    </font>
    <font>
      <u/>
      <sz val="10"/>
      <color rgb="FF0000FF"/>
      <name val="Arial"/>
      <family val="2"/>
      <charset val="204"/>
    </font>
    <font>
      <b/>
      <sz val="10"/>
      <color theme="1"/>
      <name val="Arial"/>
      <family val="2"/>
      <charset val="204"/>
    </font>
    <font>
      <sz val="9"/>
      <name val="Arial"/>
      <family val="2"/>
      <charset val="204"/>
    </font>
    <font>
      <sz val="11"/>
      <color theme="1"/>
      <name val="Arial"/>
      <family val="2"/>
      <charset val="204"/>
    </font>
  </fonts>
  <fills count="19">
    <fill>
      <patternFill patternType="none"/>
    </fill>
    <fill>
      <patternFill patternType="gray125"/>
    </fill>
    <fill>
      <patternFill patternType="solid">
        <fgColor theme="0" tint="-9.9978637043366805E-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000"/>
        <bgColor rgb="FF000000"/>
      </patternFill>
    </fill>
    <fill>
      <patternFill patternType="solid">
        <fgColor rgb="FFFABF8F"/>
        <bgColor rgb="FF000000"/>
      </patternFill>
    </fill>
    <fill>
      <patternFill patternType="solid">
        <fgColor rgb="FFFDE9D9"/>
        <bgColor rgb="FF000000"/>
      </patternFill>
    </fill>
    <fill>
      <patternFill patternType="solid">
        <fgColor rgb="FFBEB0A3"/>
        <bgColor rgb="FF000000"/>
      </patternFill>
    </fill>
    <fill>
      <patternFill patternType="solid">
        <fgColor theme="1" tint="0.499984740745262"/>
        <bgColor indexed="64"/>
      </patternFill>
    </fill>
    <fill>
      <patternFill patternType="solid">
        <fgColor indexed="9"/>
        <bgColor indexed="64"/>
      </patternFill>
    </fill>
    <fill>
      <patternFill patternType="solid">
        <fgColor theme="0"/>
        <bgColor indexed="64"/>
      </patternFill>
    </fill>
  </fills>
  <borders count="110">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auto="1"/>
      </left>
      <right style="thin">
        <color auto="1"/>
      </right>
      <top style="thin">
        <color auto="1"/>
      </top>
      <bottom style="thin">
        <color auto="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top style="medium">
        <color auto="1"/>
      </top>
      <bottom style="medium">
        <color auto="1"/>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diagonal/>
    </border>
    <border>
      <left style="medium">
        <color auto="1"/>
      </left>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rgb="FF000000"/>
      </bottom>
      <diagonal/>
    </border>
    <border>
      <left style="thin">
        <color auto="1"/>
      </left>
      <right style="medium">
        <color auto="1"/>
      </right>
      <top style="medium">
        <color auto="1"/>
      </top>
      <bottom/>
      <diagonal/>
    </border>
    <border>
      <left style="medium">
        <color auto="1"/>
      </left>
      <right style="medium">
        <color auto="1"/>
      </right>
      <top style="medium">
        <color rgb="FF000000"/>
      </top>
      <bottom style="thin">
        <color auto="1"/>
      </bottom>
      <diagonal/>
    </border>
    <border>
      <left/>
      <right style="medium">
        <color auto="1"/>
      </right>
      <top style="medium">
        <color rgb="FF000000"/>
      </top>
      <bottom style="thin">
        <color auto="1"/>
      </bottom>
      <diagonal/>
    </border>
    <border>
      <left/>
      <right style="medium">
        <color auto="1"/>
      </right>
      <top style="thin">
        <color auto="1"/>
      </top>
      <bottom style="medium">
        <color rgb="FF000000"/>
      </bottom>
      <diagonal/>
    </border>
    <border>
      <left style="medium">
        <color auto="1"/>
      </left>
      <right style="medium">
        <color auto="1"/>
      </right>
      <top/>
      <bottom/>
      <diagonal/>
    </border>
    <border>
      <left/>
      <right style="medium">
        <color auto="1"/>
      </right>
      <top/>
      <bottom/>
      <diagonal/>
    </border>
    <border>
      <left style="medium">
        <color rgb="FF000000"/>
      </left>
      <right/>
      <top style="thin">
        <color rgb="FF000000"/>
      </top>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medium">
        <color auto="1"/>
      </right>
      <top style="thin">
        <color rgb="FF000000"/>
      </top>
      <bottom style="medium">
        <color rgb="FF000000"/>
      </bottom>
      <diagonal/>
    </border>
    <border>
      <left style="medium">
        <color auto="1"/>
      </left>
      <right style="medium">
        <color auto="1"/>
      </right>
      <top style="medium">
        <color rgb="FF000000"/>
      </top>
      <bottom style="medium">
        <color rgb="FF000000"/>
      </bottom>
      <diagonal/>
    </border>
    <border>
      <left/>
      <right style="medium">
        <color auto="1"/>
      </right>
      <top style="medium">
        <color rgb="FF000000"/>
      </top>
      <bottom style="medium">
        <color rgb="FF000000"/>
      </bottom>
      <diagonal/>
    </border>
    <border>
      <left style="thin">
        <color auto="1"/>
      </left>
      <right style="thin">
        <color auto="1"/>
      </right>
      <top style="thin">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bottom style="medium">
        <color rgb="FF002060"/>
      </bottom>
      <diagonal/>
    </border>
    <border>
      <left style="medium">
        <color rgb="FF000000"/>
      </left>
      <right style="medium">
        <color auto="1"/>
      </right>
      <top style="medium">
        <color rgb="FF000000"/>
      </top>
      <bottom style="thin">
        <color rgb="FF000000"/>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auto="1"/>
      </left>
      <right/>
      <top style="medium">
        <color auto="1"/>
      </top>
      <bottom/>
      <diagonal/>
    </border>
    <border>
      <left style="thin">
        <color indexed="64"/>
      </left>
      <right style="thin">
        <color indexed="64"/>
      </right>
      <top style="thin">
        <color indexed="64"/>
      </top>
      <bottom style="thin">
        <color indexed="64"/>
      </bottom>
      <diagonal/>
    </border>
    <border>
      <left style="medium">
        <color indexed="8"/>
      </left>
      <right/>
      <top/>
      <bottom/>
      <diagonal/>
    </border>
    <border>
      <left style="medium">
        <color indexed="8"/>
      </left>
      <right style="medium">
        <color indexed="8"/>
      </right>
      <top/>
      <bottom/>
      <diagonal/>
    </border>
    <border>
      <left style="medium">
        <color indexed="64"/>
      </left>
      <right style="medium">
        <color indexed="64"/>
      </right>
      <top/>
      <bottom/>
      <diagonal/>
    </border>
  </borders>
  <cellStyleXfs count="19">
    <xf numFmtId="0" fontId="0" fillId="0" borderId="0"/>
    <xf numFmtId="9" fontId="3" fillId="0" borderId="0" applyFont="0" applyFill="0" applyBorder="0" applyAlignment="0" applyProtection="0"/>
    <xf numFmtId="0" fontId="3" fillId="0" borderId="0"/>
    <xf numFmtId="0" fontId="14" fillId="0" borderId="0" applyNumberFormat="0" applyFill="0" applyBorder="0" applyAlignment="0" applyProtection="0">
      <alignment vertical="top"/>
      <protection locked="0"/>
    </xf>
    <xf numFmtId="43" fontId="3" fillId="0" borderId="0" applyFont="0" applyFill="0" applyBorder="0" applyAlignment="0" applyProtection="0"/>
    <xf numFmtId="164" fontId="3" fillId="0" borderId="0" applyFont="0" applyFill="0" applyBorder="0" applyAlignment="0" applyProtection="0"/>
    <xf numFmtId="0" fontId="15" fillId="0" borderId="0"/>
    <xf numFmtId="9" fontId="16" fillId="0" borderId="0" applyFont="0" applyFill="0" applyBorder="0" applyAlignment="0" applyProtection="0"/>
    <xf numFmtId="0" fontId="3" fillId="0" borderId="0"/>
    <xf numFmtId="0" fontId="16" fillId="0" borderId="0"/>
    <xf numFmtId="0" fontId="13" fillId="0" borderId="0"/>
    <xf numFmtId="0" fontId="18" fillId="0" borderId="0"/>
    <xf numFmtId="0" fontId="17" fillId="0" borderId="0" applyNumberFormat="0" applyFont="0" applyFill="0" applyBorder="0" applyAlignment="0" applyProtection="0">
      <alignment vertical="top"/>
    </xf>
    <xf numFmtId="0" fontId="15" fillId="0" borderId="0"/>
    <xf numFmtId="0" fontId="19" fillId="0" borderId="0"/>
    <xf numFmtId="0" fontId="17" fillId="0" borderId="0"/>
    <xf numFmtId="0" fontId="24" fillId="0" borderId="0"/>
    <xf numFmtId="0" fontId="25" fillId="0" borderId="0" applyNumberFormat="0" applyFill="0" applyBorder="0" applyAlignment="0" applyProtection="0"/>
    <xf numFmtId="0" fontId="17" fillId="0" borderId="0"/>
  </cellStyleXfs>
  <cellXfs count="880">
    <xf numFmtId="0" fontId="0" fillId="0" borderId="0" xfId="0"/>
    <xf numFmtId="0" fontId="0" fillId="0" borderId="0" xfId="0" applyAlignment="1">
      <alignment wrapText="1"/>
    </xf>
    <xf numFmtId="0" fontId="2" fillId="2" borderId="9" xfId="0" applyFont="1" applyFill="1" applyBorder="1" applyAlignment="1">
      <alignment horizontal="center" vertical="center" wrapText="1"/>
    </xf>
    <xf numFmtId="0" fontId="1" fillId="0" borderId="0" xfId="0" applyFont="1" applyAlignment="1">
      <alignment horizontal="center" vertical="center" wrapText="1"/>
    </xf>
    <xf numFmtId="0" fontId="2" fillId="0" borderId="8"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4" xfId="0" applyFont="1" applyFill="1" applyBorder="1" applyAlignment="1">
      <alignment horizontal="center" vertical="center" wrapText="1"/>
    </xf>
    <xf numFmtId="0" fontId="2" fillId="0" borderId="9" xfId="0" applyFont="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0" fontId="1" fillId="0" borderId="0" xfId="0" applyFont="1" applyAlignment="1">
      <alignment vertical="center" wrapText="1"/>
    </xf>
    <xf numFmtId="0" fontId="2" fillId="2" borderId="35" xfId="0" applyFont="1" applyFill="1" applyBorder="1" applyAlignment="1">
      <alignment horizontal="center" vertical="center" wrapText="1"/>
    </xf>
    <xf numFmtId="0" fontId="2" fillId="0" borderId="35" xfId="0" applyFont="1" applyFill="1" applyBorder="1" applyAlignment="1">
      <alignment horizontal="center" vertical="center" wrapText="1"/>
    </xf>
    <xf numFmtId="14" fontId="2" fillId="0" borderId="35" xfId="0" applyNumberFormat="1" applyFont="1" applyFill="1" applyBorder="1" applyAlignment="1">
      <alignment horizontal="center" vertical="center" wrapText="1"/>
    </xf>
    <xf numFmtId="166" fontId="2" fillId="2" borderId="35"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vertical="center" wrapText="1"/>
    </xf>
    <xf numFmtId="0" fontId="1" fillId="0" borderId="0" xfId="0" applyFont="1" applyAlignment="1">
      <alignment horizontal="center" vertical="center" wrapText="1"/>
    </xf>
    <xf numFmtId="0" fontId="2" fillId="2"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0" xfId="0" applyFont="1" applyAlignment="1">
      <alignment horizontal="center" vertical="center" wrapText="1"/>
    </xf>
    <xf numFmtId="49" fontId="5" fillId="2" borderId="10"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justify" vertical="center" wrapText="1"/>
    </xf>
    <xf numFmtId="0" fontId="6" fillId="2" borderId="11" xfId="0" applyFont="1" applyFill="1" applyBorder="1" applyAlignment="1">
      <alignment vertical="center" wrapText="1"/>
    </xf>
    <xf numFmtId="166" fontId="6" fillId="0" borderId="11" xfId="0" applyNumberFormat="1" applyFont="1" applyFill="1" applyBorder="1" applyAlignment="1">
      <alignment vertical="center" wrapText="1"/>
    </xf>
    <xf numFmtId="0" fontId="6" fillId="0"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justify" vertical="center" wrapText="1"/>
    </xf>
    <xf numFmtId="0" fontId="6" fillId="2" borderId="1" xfId="0" applyFont="1" applyFill="1" applyBorder="1" applyAlignment="1">
      <alignment vertical="center" wrapText="1"/>
    </xf>
    <xf numFmtId="166" fontId="6"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vertical="center" wrapText="1"/>
    </xf>
    <xf numFmtId="0" fontId="6" fillId="2" borderId="16" xfId="0" applyFont="1" applyFill="1" applyBorder="1" applyAlignment="1">
      <alignment horizontal="center" vertical="center" wrapText="1"/>
    </xf>
    <xf numFmtId="0" fontId="6" fillId="0" borderId="0" xfId="0" applyFont="1" applyAlignment="1">
      <alignment vertical="center" wrapText="1"/>
    </xf>
    <xf numFmtId="0" fontId="6" fillId="0" borderId="16" xfId="0" applyFont="1" applyBorder="1" applyAlignment="1">
      <alignment horizontal="justify" vertical="center" wrapText="1"/>
    </xf>
    <xf numFmtId="0" fontId="6" fillId="0" borderId="16" xfId="0" applyFont="1" applyBorder="1" applyAlignment="1">
      <alignment horizontal="center" vertical="center" wrapText="1"/>
    </xf>
    <xf numFmtId="0" fontId="6" fillId="0" borderId="0" xfId="0" applyFont="1" applyAlignment="1">
      <alignment wrapText="1"/>
    </xf>
    <xf numFmtId="0" fontId="6" fillId="0" borderId="16" xfId="0" applyFont="1" applyBorder="1" applyAlignment="1">
      <alignment vertical="center" wrapText="1"/>
    </xf>
    <xf numFmtId="0" fontId="6" fillId="0" borderId="16" xfId="0" applyFont="1" applyBorder="1" applyAlignment="1">
      <alignment horizontal="left" vertical="center" wrapText="1"/>
    </xf>
    <xf numFmtId="165" fontId="0" fillId="0" borderId="35" xfId="0" applyNumberFormat="1" applyFont="1" applyFill="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vertical="center" wrapText="1"/>
    </xf>
    <xf numFmtId="0" fontId="2" fillId="0" borderId="15" xfId="0" applyFont="1" applyBorder="1" applyAlignment="1">
      <alignment horizontal="justify" vertical="center" wrapText="1"/>
    </xf>
    <xf numFmtId="0" fontId="2" fillId="0" borderId="10" xfId="0" applyFont="1" applyBorder="1" applyAlignment="1">
      <alignment horizontal="center" vertical="center" wrapText="1"/>
    </xf>
    <xf numFmtId="0" fontId="2" fillId="0" borderId="9" xfId="0" applyFont="1" applyFill="1" applyBorder="1" applyAlignment="1">
      <alignment horizontal="center" vertical="center" wrapText="1"/>
    </xf>
    <xf numFmtId="0" fontId="6" fillId="0" borderId="46" xfId="0" applyFont="1" applyBorder="1" applyAlignment="1">
      <alignment horizontal="left" vertical="center" wrapText="1"/>
    </xf>
    <xf numFmtId="0" fontId="6" fillId="0" borderId="0" xfId="0" applyFont="1"/>
    <xf numFmtId="0" fontId="7" fillId="2" borderId="4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6" fillId="0" borderId="0" xfId="0" applyFont="1" applyAlignment="1">
      <alignment vertical="center"/>
    </xf>
    <xf numFmtId="0" fontId="7" fillId="2" borderId="24" xfId="0" applyFont="1" applyFill="1" applyBorder="1" applyAlignment="1">
      <alignment horizontal="center" vertical="center" wrapText="1"/>
    </xf>
    <xf numFmtId="0" fontId="6" fillId="0" borderId="26" xfId="0" applyFont="1" applyBorder="1" applyAlignment="1">
      <alignment horizontal="center" vertical="center"/>
    </xf>
    <xf numFmtId="0" fontId="7" fillId="5" borderId="43" xfId="0" applyFont="1" applyFill="1" applyBorder="1" applyAlignment="1">
      <alignment horizontal="right" vertical="center" wrapText="1"/>
    </xf>
    <xf numFmtId="0" fontId="6" fillId="5" borderId="23" xfId="0" applyFont="1" applyFill="1" applyBorder="1" applyAlignment="1">
      <alignment horizontal="center" vertical="center"/>
    </xf>
    <xf numFmtId="0" fontId="7" fillId="5" borderId="43" xfId="0" applyFont="1" applyFill="1" applyBorder="1" applyAlignment="1">
      <alignment horizontal="right" vertical="center"/>
    </xf>
    <xf numFmtId="0" fontId="6" fillId="0" borderId="46" xfId="0" applyFont="1" applyBorder="1" applyAlignment="1">
      <alignment vertical="center"/>
    </xf>
    <xf numFmtId="0" fontId="6" fillId="0" borderId="48" xfId="0" applyFont="1" applyBorder="1" applyAlignment="1">
      <alignment vertical="center"/>
    </xf>
    <xf numFmtId="0" fontId="6" fillId="0" borderId="26" xfId="0" applyFont="1" applyBorder="1" applyAlignment="1">
      <alignment horizontal="center" vertical="center" wrapText="1"/>
    </xf>
    <xf numFmtId="0" fontId="7" fillId="5" borderId="45" xfId="0" applyFont="1" applyFill="1" applyBorder="1" applyAlignment="1">
      <alignment horizontal="right" wrapText="1"/>
    </xf>
    <xf numFmtId="0" fontId="7" fillId="6" borderId="43" xfId="0" applyFont="1" applyFill="1" applyBorder="1" applyAlignment="1">
      <alignment horizontal="right" vertical="center" wrapText="1"/>
    </xf>
    <xf numFmtId="0" fontId="7" fillId="2" borderId="57"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0" xfId="0" applyFont="1" applyFill="1" applyBorder="1" applyAlignment="1">
      <alignment horizontal="center" vertical="center" wrapText="1"/>
    </xf>
    <xf numFmtId="3" fontId="6" fillId="0" borderId="23" xfId="0" applyNumberFormat="1" applyFont="1" applyBorder="1" applyAlignment="1">
      <alignment horizontal="center" vertical="center" wrapText="1"/>
    </xf>
    <xf numFmtId="9" fontId="6" fillId="0" borderId="30" xfId="0" applyNumberFormat="1" applyFont="1" applyBorder="1" applyAlignment="1">
      <alignment horizontal="center" vertical="center" wrapText="1"/>
    </xf>
    <xf numFmtId="9" fontId="6" fillId="0" borderId="31" xfId="1" applyFont="1" applyBorder="1" applyAlignment="1">
      <alignment horizontal="center" vertical="center" wrapText="1"/>
    </xf>
    <xf numFmtId="0" fontId="6" fillId="0" borderId="49" xfId="0" applyFont="1" applyBorder="1" applyAlignment="1">
      <alignment wrapText="1"/>
    </xf>
    <xf numFmtId="0" fontId="6" fillId="0" borderId="44" xfId="0" applyFont="1" applyBorder="1" applyAlignment="1">
      <alignment horizontal="center" wrapText="1"/>
    </xf>
    <xf numFmtId="0" fontId="7" fillId="0" borderId="52" xfId="0" applyFont="1" applyFill="1" applyBorder="1" applyAlignment="1">
      <alignment horizontal="right" vertical="center" wrapText="1"/>
    </xf>
    <xf numFmtId="0" fontId="6" fillId="0" borderId="53" xfId="0" applyFont="1" applyFill="1" applyBorder="1" applyAlignment="1">
      <alignment horizontal="center" vertical="center"/>
    </xf>
    <xf numFmtId="0" fontId="6" fillId="0" borderId="59" xfId="0" applyFont="1" applyBorder="1" applyAlignment="1">
      <alignment horizontal="justify" vertical="center" wrapText="1"/>
    </xf>
    <xf numFmtId="0" fontId="6" fillId="0" borderId="47" xfId="0" applyFont="1" applyBorder="1" applyAlignment="1">
      <alignment horizontal="justify" vertical="center" wrapText="1"/>
    </xf>
    <xf numFmtId="0" fontId="6" fillId="5" borderId="23" xfId="0" applyFont="1" applyFill="1" applyBorder="1" applyAlignment="1">
      <alignment horizontal="center" wrapText="1"/>
    </xf>
    <xf numFmtId="0" fontId="6" fillId="5" borderId="23"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60" xfId="0" applyFont="1" applyBorder="1" applyAlignment="1">
      <alignment horizontal="left" vertical="center" wrapText="1"/>
    </xf>
    <xf numFmtId="0" fontId="7" fillId="2" borderId="62"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7" fillId="5" borderId="23" xfId="0" applyFont="1" applyFill="1" applyBorder="1" applyAlignment="1">
      <alignment horizontal="center" vertical="center"/>
    </xf>
    <xf numFmtId="0" fontId="7" fillId="6" borderId="23" xfId="0" applyFont="1" applyFill="1" applyBorder="1" applyAlignment="1">
      <alignment horizontal="center" vertical="center"/>
    </xf>
    <xf numFmtId="0" fontId="7" fillId="2" borderId="45" xfId="0" applyFont="1" applyFill="1" applyBorder="1" applyAlignment="1">
      <alignment horizontal="center" vertical="center"/>
    </xf>
    <xf numFmtId="0" fontId="2" fillId="3" borderId="34"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60" xfId="0" applyFont="1" applyBorder="1" applyAlignment="1">
      <alignment horizontal="center" vertical="center"/>
    </xf>
    <xf numFmtId="0" fontId="6" fillId="2" borderId="26" xfId="0" applyFont="1" applyFill="1" applyBorder="1" applyAlignment="1">
      <alignment horizontal="center" vertical="center" wrapText="1"/>
    </xf>
    <xf numFmtId="0" fontId="6" fillId="0" borderId="23" xfId="0" applyFont="1" applyBorder="1" applyAlignment="1">
      <alignment horizontal="justify" vertical="center" wrapText="1"/>
    </xf>
    <xf numFmtId="0" fontId="6" fillId="0" borderId="25" xfId="0" applyFont="1" applyBorder="1" applyAlignment="1">
      <alignment horizontal="center" vertical="center" wrapText="1"/>
    </xf>
    <xf numFmtId="0" fontId="2" fillId="2" borderId="11" xfId="0" applyNumberFormat="1" applyFont="1" applyFill="1" applyBorder="1" applyAlignment="1">
      <alignment vertical="center" wrapText="1"/>
    </xf>
    <xf numFmtId="0" fontId="6" fillId="0" borderId="52" xfId="0" applyFont="1" applyBorder="1" applyAlignment="1">
      <alignment wrapText="1"/>
    </xf>
    <xf numFmtId="0" fontId="6" fillId="0" borderId="0" xfId="0" applyFont="1" applyBorder="1" applyAlignment="1">
      <alignment wrapText="1"/>
    </xf>
    <xf numFmtId="0" fontId="1" fillId="0" borderId="0" xfId="0" applyFont="1" applyAlignment="1">
      <alignment horizontal="center" vertical="center" wrapText="1"/>
    </xf>
    <xf numFmtId="0" fontId="7" fillId="0" borderId="0" xfId="0" applyFont="1" applyBorder="1" applyAlignment="1">
      <alignment horizontal="center" vertical="center" wrapText="1"/>
    </xf>
    <xf numFmtId="0" fontId="7" fillId="2" borderId="54" xfId="0" applyFont="1" applyFill="1" applyBorder="1" applyAlignment="1">
      <alignment horizontal="center" vertical="center" wrapText="1"/>
    </xf>
    <xf numFmtId="0" fontId="7" fillId="0" borderId="0" xfId="0" applyFont="1" applyBorder="1" applyAlignment="1">
      <alignment horizontal="center" vertical="center" wrapText="1"/>
    </xf>
    <xf numFmtId="167" fontId="6" fillId="2" borderId="10" xfId="0" applyNumberFormat="1" applyFont="1" applyFill="1" applyBorder="1" applyAlignment="1">
      <alignment vertical="center" wrapText="1"/>
    </xf>
    <xf numFmtId="168" fontId="2" fillId="0" borderId="35" xfId="0" applyNumberFormat="1" applyFont="1" applyFill="1" applyBorder="1" applyAlignment="1">
      <alignment horizontal="center" vertical="center" wrapText="1"/>
    </xf>
    <xf numFmtId="168" fontId="0" fillId="0" borderId="35" xfId="0" applyNumberFormat="1" applyFont="1" applyFill="1" applyBorder="1" applyAlignment="1">
      <alignment horizontal="center" vertical="center"/>
    </xf>
    <xf numFmtId="168" fontId="6" fillId="2" borderId="11" xfId="0" applyNumberFormat="1" applyFont="1" applyFill="1" applyBorder="1" applyAlignment="1">
      <alignment vertical="center" wrapText="1"/>
    </xf>
    <xf numFmtId="168" fontId="6" fillId="0" borderId="11" xfId="0" applyNumberFormat="1" applyFont="1" applyFill="1" applyBorder="1" applyAlignment="1">
      <alignment vertical="center" wrapText="1"/>
    </xf>
    <xf numFmtId="168" fontId="6" fillId="0" borderId="1" xfId="0" applyNumberFormat="1" applyFont="1" applyFill="1" applyBorder="1" applyAlignment="1">
      <alignment vertical="center" wrapText="1"/>
    </xf>
    <xf numFmtId="168" fontId="6" fillId="2" borderId="10" xfId="0" applyNumberFormat="1" applyFont="1" applyFill="1" applyBorder="1" applyAlignment="1">
      <alignment vertical="center" wrapText="1"/>
    </xf>
    <xf numFmtId="0" fontId="6" fillId="2" borderId="1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7" fillId="2" borderId="70" xfId="0" applyFont="1" applyFill="1" applyBorder="1" applyAlignment="1">
      <alignment horizontal="center" vertical="center" wrapText="1"/>
    </xf>
    <xf numFmtId="0" fontId="6" fillId="0" borderId="51" xfId="0" applyFont="1" applyFill="1" applyBorder="1" applyAlignment="1">
      <alignment horizontal="justify" vertical="center" wrapText="1"/>
    </xf>
    <xf numFmtId="0" fontId="6" fillId="0" borderId="72" xfId="0" applyFont="1" applyFill="1" applyBorder="1" applyAlignment="1">
      <alignment horizontal="justify" vertical="center" wrapText="1"/>
    </xf>
    <xf numFmtId="0" fontId="2" fillId="0" borderId="19"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7" borderId="17" xfId="0" applyNumberFormat="1"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6" fillId="7" borderId="74" xfId="0" applyFont="1" applyFill="1" applyBorder="1" applyAlignment="1">
      <alignment horizontal="justify" vertical="center" wrapText="1"/>
    </xf>
    <xf numFmtId="1" fontId="6" fillId="7" borderId="74" xfId="0" applyNumberFormat="1" applyFont="1" applyFill="1" applyBorder="1" applyAlignment="1">
      <alignment horizontal="center" vertical="center"/>
    </xf>
    <xf numFmtId="168" fontId="6" fillId="7" borderId="75" xfId="0" applyNumberFormat="1" applyFont="1" applyFill="1" applyBorder="1" applyAlignment="1">
      <alignment horizontal="center" vertical="center"/>
    </xf>
    <xf numFmtId="0" fontId="2" fillId="0" borderId="79" xfId="0" applyNumberFormat="1" applyFont="1" applyFill="1" applyBorder="1" applyAlignment="1">
      <alignment horizontal="center" vertical="center" wrapText="1"/>
    </xf>
    <xf numFmtId="0" fontId="6" fillId="0" borderId="80" xfId="0" applyFont="1" applyFill="1" applyBorder="1" applyAlignment="1">
      <alignment horizontal="justify" vertical="center" wrapText="1"/>
    </xf>
    <xf numFmtId="0" fontId="6" fillId="0" borderId="82" xfId="0" applyFont="1" applyFill="1" applyBorder="1" applyAlignment="1">
      <alignment horizontal="justify" vertical="center" wrapText="1"/>
    </xf>
    <xf numFmtId="0" fontId="2" fillId="7" borderId="8" xfId="0" applyNumberFormat="1" applyFont="1" applyFill="1" applyBorder="1" applyAlignment="1">
      <alignment horizontal="center" vertical="center" wrapText="1"/>
    </xf>
    <xf numFmtId="0" fontId="6" fillId="7" borderId="77" xfId="0" applyFont="1" applyFill="1" applyBorder="1" applyAlignment="1">
      <alignment horizontal="justify" vertical="center" wrapText="1"/>
    </xf>
    <xf numFmtId="0" fontId="2" fillId="7" borderId="1" xfId="0" applyNumberFormat="1" applyFont="1" applyFill="1" applyBorder="1" applyAlignment="1">
      <alignment horizontal="center" vertical="center" wrapText="1"/>
    </xf>
    <xf numFmtId="0" fontId="6" fillId="7" borderId="83" xfId="0" applyFont="1" applyFill="1" applyBorder="1" applyAlignment="1">
      <alignment horizontal="justify" vertical="center" wrapText="1"/>
    </xf>
    <xf numFmtId="1" fontId="6" fillId="0" borderId="51" xfId="0" applyNumberFormat="1" applyFont="1" applyBorder="1" applyAlignment="1">
      <alignment horizontal="center" vertical="center"/>
    </xf>
    <xf numFmtId="168" fontId="6" fillId="0" borderId="71" xfId="0" applyNumberFormat="1" applyFont="1" applyBorder="1" applyAlignment="1">
      <alignment horizontal="center" vertical="center"/>
    </xf>
    <xf numFmtId="1" fontId="6" fillId="0" borderId="72" xfId="0" applyNumberFormat="1" applyFont="1" applyBorder="1" applyAlignment="1">
      <alignment horizontal="center" vertical="center"/>
    </xf>
    <xf numFmtId="168" fontId="6" fillId="0" borderId="76" xfId="0" applyNumberFormat="1" applyFont="1" applyBorder="1" applyAlignment="1">
      <alignment horizontal="center" vertical="center"/>
    </xf>
    <xf numFmtId="1" fontId="6" fillId="7" borderId="77" xfId="0" applyNumberFormat="1" applyFont="1" applyFill="1" applyBorder="1" applyAlignment="1">
      <alignment horizontal="center" vertical="center"/>
    </xf>
    <xf numFmtId="168" fontId="6" fillId="7" borderId="78" xfId="0" applyNumberFormat="1" applyFont="1" applyFill="1" applyBorder="1" applyAlignment="1">
      <alignment horizontal="center" vertical="center"/>
    </xf>
    <xf numFmtId="1" fontId="6" fillId="0" borderId="80" xfId="0" applyNumberFormat="1" applyFont="1" applyBorder="1" applyAlignment="1">
      <alignment horizontal="center" vertical="center"/>
    </xf>
    <xf numFmtId="168" fontId="6" fillId="0" borderId="81" xfId="0" applyNumberFormat="1" applyFont="1" applyBorder="1" applyAlignment="1">
      <alignment horizontal="center" vertical="center"/>
    </xf>
    <xf numFmtId="1" fontId="6" fillId="0" borderId="82" xfId="0" applyNumberFormat="1" applyFont="1" applyBorder="1" applyAlignment="1">
      <alignment horizontal="center" vertical="center"/>
    </xf>
    <xf numFmtId="1" fontId="6" fillId="7" borderId="83" xfId="0" applyNumberFormat="1" applyFont="1" applyFill="1" applyBorder="1" applyAlignment="1">
      <alignment horizontal="center" vertical="center"/>
    </xf>
    <xf numFmtId="168" fontId="6" fillId="7" borderId="84" xfId="0" applyNumberFormat="1" applyFont="1" applyFill="1" applyBorder="1" applyAlignment="1">
      <alignment horizontal="center" vertical="center"/>
    </xf>
    <xf numFmtId="0" fontId="2" fillId="7" borderId="34" xfId="0" applyFont="1" applyFill="1" applyBorder="1" applyAlignment="1">
      <alignment vertical="center" wrapText="1"/>
    </xf>
    <xf numFmtId="0" fontId="2" fillId="7" borderId="35" xfId="0" applyFont="1" applyFill="1" applyBorder="1" applyAlignment="1">
      <alignment vertical="center" wrapText="1"/>
    </xf>
    <xf numFmtId="0" fontId="2" fillId="7" borderId="36" xfId="0" applyFont="1" applyFill="1" applyBorder="1" applyAlignment="1">
      <alignment vertical="center" wrapText="1"/>
    </xf>
    <xf numFmtId="0" fontId="2" fillId="0" borderId="10" xfId="0" applyFont="1" applyBorder="1" applyAlignment="1">
      <alignment vertical="center" wrapText="1"/>
    </xf>
    <xf numFmtId="0" fontId="2" fillId="0" borderId="2" xfId="0" applyFont="1" applyBorder="1" applyAlignment="1">
      <alignment vertical="center" wrapText="1"/>
    </xf>
    <xf numFmtId="0" fontId="7" fillId="0" borderId="0" xfId="0" applyFont="1" applyBorder="1" applyAlignment="1">
      <alignment horizontal="center" vertical="center"/>
    </xf>
    <xf numFmtId="0" fontId="2" fillId="0" borderId="9"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0" xfId="0" applyFont="1" applyAlignment="1">
      <alignment horizontal="center" vertical="center" wrapText="1"/>
    </xf>
    <xf numFmtId="0" fontId="6" fillId="0" borderId="67" xfId="0" applyFont="1" applyBorder="1" applyAlignment="1">
      <alignment horizontal="center" vertical="center"/>
    </xf>
    <xf numFmtId="0" fontId="6" fillId="0" borderId="29" xfId="0" applyFont="1" applyBorder="1" applyAlignment="1">
      <alignment horizontal="center" vertical="center"/>
    </xf>
    <xf numFmtId="0" fontId="7" fillId="2" borderId="5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5" borderId="24" xfId="0" applyFont="1" applyFill="1" applyBorder="1" applyAlignment="1">
      <alignment horizontal="center" wrapText="1"/>
    </xf>
    <xf numFmtId="0" fontId="6" fillId="5" borderId="24" xfId="0" applyFont="1" applyFill="1" applyBorder="1" applyAlignment="1">
      <alignment horizontal="center" vertical="center"/>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1" fillId="0" borderId="0" xfId="0" applyFont="1" applyAlignment="1">
      <alignment horizontal="center" vertical="center" wrapText="1"/>
    </xf>
    <xf numFmtId="0" fontId="7" fillId="2" borderId="37" xfId="0" applyFont="1" applyFill="1" applyBorder="1" applyAlignment="1">
      <alignment horizontal="center" vertical="center" wrapText="1"/>
    </xf>
    <xf numFmtId="0" fontId="6" fillId="0" borderId="78" xfId="0" applyFont="1" applyBorder="1" applyAlignment="1">
      <alignment wrapText="1"/>
    </xf>
    <xf numFmtId="0" fontId="6" fillId="9" borderId="26" xfId="0" applyFont="1" applyFill="1" applyBorder="1" applyAlignment="1">
      <alignment horizontal="center" vertical="center" wrapText="1"/>
    </xf>
    <xf numFmtId="0" fontId="6" fillId="9" borderId="64"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6" fillId="10" borderId="64" xfId="0" applyFont="1" applyFill="1" applyBorder="1" applyAlignment="1">
      <alignment horizontal="center" vertical="center" wrapText="1"/>
    </xf>
    <xf numFmtId="0" fontId="6" fillId="10" borderId="67"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91" xfId="0" applyFont="1" applyFill="1" applyBorder="1" applyAlignment="1">
      <alignment horizontal="center" vertical="center" wrapText="1"/>
    </xf>
    <xf numFmtId="0" fontId="6" fillId="10" borderId="8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6" fillId="3" borderId="90" xfId="0" applyFont="1" applyFill="1" applyBorder="1" applyAlignment="1">
      <alignment horizontal="center" vertical="center" wrapText="1"/>
    </xf>
    <xf numFmtId="0" fontId="6" fillId="11" borderId="26" xfId="0" applyFont="1" applyFill="1" applyBorder="1" applyAlignment="1">
      <alignment horizontal="center" vertical="center" wrapText="1"/>
    </xf>
    <xf numFmtId="0" fontId="6" fillId="11" borderId="64" xfId="0"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xf>
    <xf numFmtId="0" fontId="7" fillId="0" borderId="0" xfId="0" applyFont="1" applyFill="1" applyBorder="1" applyAlignment="1">
      <alignment vertical="center" wrapText="1"/>
    </xf>
    <xf numFmtId="0" fontId="6"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6" fillId="2" borderId="67" xfId="0" applyFont="1" applyFill="1" applyBorder="1" applyAlignment="1">
      <alignment horizontal="center" vertical="center" wrapText="1"/>
    </xf>
    <xf numFmtId="0" fontId="6" fillId="0" borderId="66" xfId="0" applyFont="1" applyBorder="1" applyAlignment="1">
      <alignment horizontal="center" vertical="center"/>
    </xf>
    <xf numFmtId="0" fontId="6" fillId="2" borderId="66" xfId="0" applyFont="1" applyFill="1" applyBorder="1" applyAlignment="1">
      <alignment horizontal="center" vertical="center" wrapText="1"/>
    </xf>
    <xf numFmtId="0" fontId="6" fillId="10" borderId="90"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10" borderId="30"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0" borderId="43" xfId="0" applyFont="1" applyBorder="1" applyAlignment="1">
      <alignment horizontal="center" vertical="center"/>
    </xf>
    <xf numFmtId="0" fontId="7" fillId="2" borderId="66" xfId="0" applyFont="1" applyFill="1" applyBorder="1" applyAlignment="1">
      <alignment horizontal="center" vertical="center" wrapText="1"/>
    </xf>
    <xf numFmtId="0" fontId="7" fillId="2" borderId="9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6" fillId="2" borderId="43" xfId="0" applyFont="1" applyFill="1" applyBorder="1" applyAlignment="1">
      <alignment horizontal="center" vertical="center" wrapText="1"/>
    </xf>
    <xf numFmtId="1" fontId="6" fillId="10" borderId="43" xfId="0" applyNumberFormat="1" applyFont="1" applyFill="1" applyBorder="1" applyAlignment="1">
      <alignment horizontal="center" vertical="center" wrapText="1"/>
    </xf>
    <xf numFmtId="0" fontId="6" fillId="2" borderId="43"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3" xfId="0" applyFont="1" applyFill="1" applyBorder="1" applyAlignment="1">
      <alignment horizontal="center" vertical="center" wrapText="1"/>
    </xf>
    <xf numFmtId="0" fontId="6" fillId="11" borderId="90"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1" borderId="30" xfId="0" applyFont="1" applyFill="1" applyBorder="1" applyAlignment="1">
      <alignment horizontal="center" vertical="center" wrapText="1"/>
    </xf>
    <xf numFmtId="1" fontId="6" fillId="11" borderId="43" xfId="0" applyNumberFormat="1" applyFont="1" applyFill="1" applyBorder="1" applyAlignment="1">
      <alignment horizontal="center" vertical="center" wrapText="1"/>
    </xf>
    <xf numFmtId="1" fontId="6" fillId="9" borderId="43" xfId="0" applyNumberFormat="1" applyFont="1" applyFill="1" applyBorder="1" applyAlignment="1">
      <alignment horizontal="center" vertical="center" wrapText="1"/>
    </xf>
    <xf numFmtId="0" fontId="6" fillId="9" borderId="9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30" xfId="0" applyFont="1" applyFill="1" applyBorder="1" applyAlignment="1">
      <alignment horizontal="center" vertical="center" wrapText="1"/>
    </xf>
    <xf numFmtId="1" fontId="6" fillId="3" borderId="43" xfId="0" applyNumberFormat="1" applyFont="1" applyFill="1" applyBorder="1" applyAlignment="1">
      <alignment horizontal="center" vertical="center" wrapText="1"/>
    </xf>
    <xf numFmtId="0" fontId="6" fillId="10" borderId="66" xfId="0" applyFont="1" applyFill="1" applyBorder="1" applyAlignment="1">
      <alignment horizontal="center" vertical="center" wrapText="1"/>
    </xf>
    <xf numFmtId="0" fontId="6" fillId="10" borderId="29"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6" fillId="10" borderId="43"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9" borderId="43" xfId="0" applyFont="1" applyFill="1" applyBorder="1" applyAlignment="1">
      <alignment horizontal="center" vertical="center" wrapText="1"/>
    </xf>
    <xf numFmtId="0" fontId="6" fillId="9" borderId="66" xfId="0" applyFont="1" applyFill="1" applyBorder="1" applyAlignment="1">
      <alignment horizontal="center" vertical="center" wrapText="1"/>
    </xf>
    <xf numFmtId="0" fontId="6" fillId="9" borderId="67"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11" borderId="43" xfId="0" applyFont="1" applyFill="1" applyBorder="1" applyAlignment="1">
      <alignment horizontal="center" vertical="center" wrapText="1"/>
    </xf>
    <xf numFmtId="0" fontId="6" fillId="11" borderId="66"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6" fillId="11" borderId="67" xfId="0" applyFont="1" applyFill="1" applyBorder="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1" fillId="0" borderId="96" xfId="0" applyFont="1" applyBorder="1" applyAlignment="1">
      <alignment horizontal="center" vertical="center" wrapText="1"/>
    </xf>
    <xf numFmtId="0" fontId="7" fillId="8" borderId="45" xfId="0" applyFont="1" applyFill="1" applyBorder="1" applyAlignment="1">
      <alignment vertical="center"/>
    </xf>
    <xf numFmtId="0" fontId="7" fillId="8" borderId="40" xfId="0" applyFont="1" applyFill="1" applyBorder="1" applyAlignment="1">
      <alignment vertical="center"/>
    </xf>
    <xf numFmtId="49" fontId="1" fillId="0" borderId="0" xfId="0" applyNumberFormat="1" applyFont="1" applyAlignment="1">
      <alignment horizontal="right" vertical="center" wrapText="1"/>
    </xf>
    <xf numFmtId="0" fontId="2" fillId="0" borderId="10" xfId="0" applyFont="1" applyBorder="1" applyAlignment="1">
      <alignment horizontal="right" vertical="center" wrapText="1"/>
    </xf>
    <xf numFmtId="0" fontId="9" fillId="0" borderId="0" xfId="0" applyFont="1" applyFill="1" applyBorder="1" applyAlignment="1">
      <alignment wrapText="1"/>
    </xf>
    <xf numFmtId="49" fontId="9" fillId="0" borderId="0" xfId="0" applyNumberFormat="1" applyFont="1" applyFill="1" applyBorder="1" applyAlignment="1">
      <alignment wrapText="1"/>
    </xf>
    <xf numFmtId="0" fontId="10" fillId="12" borderId="43" xfId="0" applyFont="1" applyFill="1" applyBorder="1" applyAlignment="1">
      <alignment horizontal="center" vertical="center" wrapText="1"/>
    </xf>
    <xf numFmtId="0" fontId="11" fillId="13" borderId="43" xfId="0" applyFont="1" applyFill="1" applyBorder="1" applyAlignment="1">
      <alignment horizontal="center" vertical="center" wrapText="1"/>
    </xf>
    <xf numFmtId="0" fontId="11" fillId="14" borderId="50" xfId="0" applyNumberFormat="1" applyFont="1" applyFill="1" applyBorder="1" applyAlignment="1">
      <alignment horizontal="center" vertical="center" wrapText="1"/>
    </xf>
    <xf numFmtId="0" fontId="11" fillId="13" borderId="25" xfId="0"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94"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95"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0" fontId="11" fillId="0" borderId="0" xfId="0" applyFont="1" applyFill="1" applyBorder="1" applyAlignment="1">
      <alignment wrapText="1"/>
    </xf>
    <xf numFmtId="49" fontId="11" fillId="0" borderId="38" xfId="0" applyNumberFormat="1" applyFont="1" applyFill="1" applyBorder="1" applyAlignment="1">
      <alignment horizontal="center" vertical="center" wrapText="1"/>
    </xf>
    <xf numFmtId="0" fontId="6" fillId="7" borderId="50" xfId="0" applyFont="1" applyFill="1" applyBorder="1" applyAlignment="1">
      <alignment horizontal="justify" vertical="center" wrapText="1"/>
    </xf>
    <xf numFmtId="0" fontId="2" fillId="7" borderId="97" xfId="0" applyNumberFormat="1" applyFont="1" applyFill="1" applyBorder="1" applyAlignment="1">
      <alignment horizontal="center" vertical="center" wrapText="1"/>
    </xf>
    <xf numFmtId="0" fontId="6" fillId="9" borderId="91" xfId="0" applyFont="1" applyFill="1" applyBorder="1" applyAlignment="1">
      <alignment horizontal="center" vertical="center" wrapText="1"/>
    </xf>
    <xf numFmtId="0" fontId="6" fillId="9" borderId="85" xfId="0" applyFont="1" applyFill="1" applyBorder="1" applyAlignment="1">
      <alignment horizontal="center" vertical="center" wrapText="1"/>
    </xf>
    <xf numFmtId="0" fontId="6" fillId="11" borderId="91" xfId="0" applyFont="1" applyFill="1" applyBorder="1" applyAlignment="1">
      <alignment horizontal="center" vertical="center" wrapText="1"/>
    </xf>
    <xf numFmtId="0" fontId="6" fillId="11" borderId="85" xfId="0" applyFont="1" applyFill="1" applyBorder="1" applyAlignment="1">
      <alignment horizontal="center" vertical="center" wrapText="1"/>
    </xf>
    <xf numFmtId="0" fontId="6" fillId="3" borderId="91"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6" fillId="0" borderId="67" xfId="0" applyFont="1" applyBorder="1" applyAlignment="1">
      <alignment horizontal="center" vertical="center" wrapText="1"/>
    </xf>
    <xf numFmtId="0" fontId="6" fillId="0" borderId="16"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0" fillId="12" borderId="54" xfId="0"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13" borderId="73" xfId="0" applyFont="1" applyFill="1" applyBorder="1" applyAlignment="1">
      <alignment horizontal="center" vertical="center" wrapText="1"/>
    </xf>
    <xf numFmtId="49" fontId="11" fillId="0" borderId="93" xfId="0" applyNumberFormat="1" applyFont="1" applyFill="1" applyBorder="1" applyAlignment="1">
      <alignment horizontal="center" vertical="center" wrapText="1"/>
    </xf>
    <xf numFmtId="0" fontId="11" fillId="0" borderId="39" xfId="0" applyNumberFormat="1" applyFont="1" applyFill="1" applyBorder="1" applyAlignment="1">
      <alignment horizontal="center" vertical="center" wrapText="1"/>
    </xf>
    <xf numFmtId="0" fontId="11" fillId="0" borderId="28" xfId="0"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168" fontId="2" fillId="2" borderId="34" xfId="0" applyNumberFormat="1" applyFont="1" applyFill="1" applyBorder="1" applyAlignment="1">
      <alignment horizontal="center" vertical="center" wrapText="1"/>
    </xf>
    <xf numFmtId="10" fontId="2" fillId="2" borderId="34" xfId="1" applyNumberFormat="1" applyFont="1" applyFill="1" applyBorder="1" applyAlignment="1">
      <alignment horizontal="center" vertical="center" wrapText="1"/>
    </xf>
    <xf numFmtId="168" fontId="2" fillId="2" borderId="35" xfId="0" applyNumberFormat="1" applyFont="1" applyFill="1" applyBorder="1" applyAlignment="1">
      <alignment horizontal="center" vertical="center" wrapText="1"/>
    </xf>
    <xf numFmtId="3" fontId="2" fillId="0" borderId="35"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165" fontId="2" fillId="0" borderId="35" xfId="0" applyNumberFormat="1" applyFont="1" applyFill="1" applyBorder="1" applyAlignment="1">
      <alignment horizontal="center" vertical="center" wrapText="1"/>
    </xf>
    <xf numFmtId="166" fontId="2" fillId="0" borderId="35" xfId="0" applyNumberFormat="1" applyFont="1" applyFill="1" applyBorder="1" applyAlignment="1">
      <alignment horizontal="center" vertical="center" wrapText="1"/>
    </xf>
    <xf numFmtId="3" fontId="6" fillId="0" borderId="90" xfId="0" applyNumberFormat="1" applyFont="1" applyBorder="1" applyAlignment="1">
      <alignment horizontal="center" vertical="center"/>
    </xf>
    <xf numFmtId="3" fontId="6" fillId="0" borderId="39" xfId="0" applyNumberFormat="1" applyFont="1" applyBorder="1" applyAlignment="1">
      <alignment horizontal="center" vertical="center"/>
    </xf>
    <xf numFmtId="3" fontId="6" fillId="0" borderId="16"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30" xfId="0" applyNumberFormat="1" applyFont="1" applyBorder="1" applyAlignment="1">
      <alignment horizontal="center" vertical="center"/>
    </xf>
    <xf numFmtId="3" fontId="6" fillId="0" borderId="31" xfId="0" applyNumberFormat="1" applyFont="1" applyBorder="1" applyAlignment="1">
      <alignment horizontal="center" vertical="center"/>
    </xf>
    <xf numFmtId="10" fontId="6" fillId="0" borderId="51" xfId="1" applyNumberFormat="1" applyFont="1" applyBorder="1" applyAlignment="1">
      <alignment horizontal="center" vertical="center"/>
    </xf>
    <xf numFmtId="10" fontId="6" fillId="10" borderId="16" xfId="1" applyNumberFormat="1" applyFont="1" applyFill="1" applyBorder="1" applyAlignment="1" applyProtection="1">
      <alignment horizontal="center" vertical="center" wrapText="1"/>
    </xf>
    <xf numFmtId="10" fontId="6" fillId="3" borderId="16" xfId="1" applyNumberFormat="1" applyFont="1" applyFill="1" applyBorder="1" applyAlignment="1">
      <alignment horizontal="center" vertical="center" wrapText="1"/>
    </xf>
    <xf numFmtId="10" fontId="6" fillId="10" borderId="43" xfId="1" applyNumberFormat="1" applyFont="1" applyFill="1" applyBorder="1" applyAlignment="1" applyProtection="1">
      <alignment horizontal="center" vertical="center" wrapText="1"/>
    </xf>
    <xf numFmtId="1" fontId="2" fillId="0" borderId="35" xfId="0" applyNumberFormat="1" applyFont="1" applyFill="1" applyBorder="1" applyAlignment="1">
      <alignment horizontal="center" vertical="center" wrapText="1"/>
    </xf>
    <xf numFmtId="10" fontId="6" fillId="3" borderId="43" xfId="1" applyNumberFormat="1" applyFont="1" applyFill="1" applyBorder="1" applyAlignment="1">
      <alignment horizontal="center" vertical="center" wrapText="1"/>
    </xf>
    <xf numFmtId="10" fontId="6" fillId="9" borderId="92" xfId="1" applyNumberFormat="1" applyFont="1" applyFill="1" applyBorder="1" applyAlignment="1">
      <alignment horizontal="center" vertical="center" wrapText="1"/>
    </xf>
    <xf numFmtId="10" fontId="6" fillId="9" borderId="16" xfId="1" applyNumberFormat="1" applyFont="1" applyFill="1" applyBorder="1" applyAlignment="1">
      <alignment horizontal="center" vertical="center" wrapText="1"/>
    </xf>
    <xf numFmtId="10" fontId="6" fillId="9" borderId="64" xfId="1" applyNumberFormat="1" applyFont="1" applyFill="1" applyBorder="1" applyAlignment="1">
      <alignment horizontal="center" vertical="center" wrapText="1"/>
    </xf>
    <xf numFmtId="10" fontId="6" fillId="9" borderId="43" xfId="1" applyNumberFormat="1" applyFont="1" applyFill="1" applyBorder="1" applyAlignment="1">
      <alignment horizontal="center" vertical="center" wrapText="1"/>
    </xf>
    <xf numFmtId="10" fontId="6" fillId="11" borderId="64" xfId="1" applyNumberFormat="1" applyFont="1" applyFill="1" applyBorder="1" applyAlignment="1">
      <alignment horizontal="center" vertical="center" wrapText="1"/>
    </xf>
    <xf numFmtId="10" fontId="6" fillId="11" borderId="16" xfId="1" applyNumberFormat="1" applyFont="1" applyFill="1" applyBorder="1" applyAlignment="1">
      <alignment horizontal="center" vertical="center" wrapText="1"/>
    </xf>
    <xf numFmtId="10" fontId="6" fillId="11" borderId="27" xfId="1" applyNumberFormat="1" applyFont="1" applyFill="1" applyBorder="1" applyAlignment="1">
      <alignment horizontal="center" vertical="center" wrapText="1"/>
    </xf>
    <xf numFmtId="10" fontId="6" fillId="11" borderId="28" xfId="1" applyNumberFormat="1" applyFont="1" applyFill="1" applyBorder="1" applyAlignment="1">
      <alignment horizontal="center" vertical="center" wrapText="1"/>
    </xf>
    <xf numFmtId="10" fontId="6" fillId="11" borderId="43" xfId="1" applyNumberFormat="1" applyFont="1" applyFill="1" applyBorder="1" applyAlignment="1">
      <alignment horizontal="center" vertical="center" wrapText="1"/>
    </xf>
    <xf numFmtId="0" fontId="7" fillId="5" borderId="45" xfId="0" applyFont="1" applyFill="1" applyBorder="1" applyAlignment="1">
      <alignment horizontal="center" vertical="center"/>
    </xf>
    <xf numFmtId="0" fontId="1" fillId="0" borderId="0" xfId="0" applyFont="1" applyAlignment="1">
      <alignment horizontal="center" vertical="center" wrapText="1"/>
    </xf>
    <xf numFmtId="0" fontId="7" fillId="2" borderId="45"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6" fillId="0" borderId="16" xfId="0" applyFont="1" applyFill="1" applyBorder="1" applyAlignment="1">
      <alignment vertical="center" wrapText="1"/>
    </xf>
    <xf numFmtId="0" fontId="7" fillId="2" borderId="54"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5" borderId="43" xfId="0" applyFont="1" applyFill="1" applyBorder="1" applyAlignment="1">
      <alignment horizontal="center" vertical="center"/>
    </xf>
    <xf numFmtId="10" fontId="7" fillId="5" borderId="43" xfId="1" applyNumberFormat="1" applyFont="1" applyFill="1" applyBorder="1" applyAlignment="1">
      <alignment horizontal="center" vertical="center" wrapText="1"/>
    </xf>
    <xf numFmtId="9" fontId="7" fillId="5" borderId="24" xfId="1" applyFont="1" applyFill="1" applyBorder="1" applyAlignment="1">
      <alignment horizontal="center" vertical="center" wrapText="1"/>
    </xf>
    <xf numFmtId="9" fontId="7" fillId="5" borderId="25" xfId="1" applyFont="1" applyFill="1" applyBorder="1" applyAlignment="1">
      <alignment horizontal="center" wrapText="1"/>
    </xf>
    <xf numFmtId="9" fontId="7" fillId="5" borderId="43" xfId="1" applyFont="1" applyFill="1" applyBorder="1" applyAlignment="1">
      <alignment horizontal="center" wrapText="1"/>
    </xf>
    <xf numFmtId="9" fontId="7" fillId="5" borderId="24" xfId="1" applyFont="1" applyFill="1" applyBorder="1" applyAlignment="1">
      <alignment horizontal="center" wrapText="1"/>
    </xf>
    <xf numFmtId="0" fontId="7" fillId="2" borderId="73" xfId="0" applyFont="1" applyFill="1" applyBorder="1" applyAlignment="1">
      <alignment horizontal="center" vertical="center" wrapText="1"/>
    </xf>
    <xf numFmtId="0" fontId="6" fillId="0" borderId="70" xfId="0" applyFont="1" applyBorder="1" applyAlignment="1">
      <alignment wrapText="1"/>
    </xf>
    <xf numFmtId="0" fontId="6" fillId="0" borderId="87" xfId="0" applyFont="1" applyBorder="1" applyAlignment="1">
      <alignment wrapText="1"/>
    </xf>
    <xf numFmtId="0" fontId="6" fillId="0" borderId="87" xfId="0" applyFont="1" applyBorder="1"/>
    <xf numFmtId="0" fontId="6" fillId="2" borderId="99" xfId="0" applyFont="1" applyFill="1" applyBorder="1" applyAlignment="1">
      <alignment horizontal="center" vertical="center" wrapText="1"/>
    </xf>
    <xf numFmtId="0" fontId="6" fillId="2" borderId="101"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1" fillId="0" borderId="0" xfId="0" applyFont="1" applyBorder="1" applyAlignment="1">
      <alignment vertical="center" wrapText="1"/>
    </xf>
    <xf numFmtId="2" fontId="2" fillId="2" borderId="35" xfId="0" applyNumberFormat="1" applyFont="1" applyFill="1" applyBorder="1" applyAlignment="1">
      <alignment horizontal="center" vertical="center" wrapText="1"/>
    </xf>
    <xf numFmtId="10" fontId="7" fillId="5" borderId="24" xfId="1" applyNumberFormat="1" applyFont="1" applyFill="1" applyBorder="1" applyAlignment="1">
      <alignment horizontal="center" vertical="center" wrapText="1"/>
    </xf>
    <xf numFmtId="10" fontId="7" fillId="5" borderId="25" xfId="1" applyNumberFormat="1" applyFont="1" applyFill="1" applyBorder="1" applyAlignment="1">
      <alignment horizontal="center" vertical="center" wrapText="1"/>
    </xf>
    <xf numFmtId="0" fontId="13" fillId="0" borderId="0" xfId="0" applyFont="1" applyFill="1" applyBorder="1" applyAlignment="1">
      <alignment wrapText="1"/>
    </xf>
    <xf numFmtId="49" fontId="13" fillId="0" borderId="0" xfId="0" applyNumberFormat="1" applyFont="1" applyFill="1" applyBorder="1" applyAlignment="1">
      <alignment wrapText="1"/>
    </xf>
    <xf numFmtId="0" fontId="13" fillId="0" borderId="52" xfId="0" applyFont="1" applyFill="1" applyBorder="1" applyAlignment="1">
      <alignment wrapText="1"/>
    </xf>
    <xf numFmtId="0" fontId="11" fillId="15" borderId="43" xfId="0" applyFont="1" applyFill="1" applyBorder="1" applyAlignment="1">
      <alignment horizontal="center" vertical="center" wrapText="1"/>
    </xf>
    <xf numFmtId="0" fontId="11" fillId="13" borderId="68" xfId="0" applyFont="1" applyFill="1" applyBorder="1" applyAlignment="1">
      <alignment horizontal="center" vertical="center" wrapText="1"/>
    </xf>
    <xf numFmtId="0" fontId="11" fillId="13" borderId="23" xfId="0" applyFont="1" applyFill="1" applyBorder="1" applyAlignment="1">
      <alignment horizontal="center" vertical="center" wrapText="1"/>
    </xf>
    <xf numFmtId="0" fontId="10" fillId="14" borderId="66" xfId="0" applyNumberFormat="1" applyFont="1" applyFill="1" applyBorder="1" applyAlignment="1">
      <alignment horizontal="center" vertical="center" wrapText="1"/>
    </xf>
    <xf numFmtId="0" fontId="11" fillId="15" borderId="99" xfId="0" applyFont="1" applyFill="1" applyBorder="1" applyAlignment="1">
      <alignment horizontal="center" vertical="center" wrapText="1"/>
    </xf>
    <xf numFmtId="0" fontId="11" fillId="15" borderId="66" xfId="0" applyFont="1" applyFill="1" applyBorder="1" applyAlignment="1">
      <alignment horizontal="center" vertical="center" wrapText="1"/>
    </xf>
    <xf numFmtId="0" fontId="11" fillId="15" borderId="67" xfId="0" applyNumberFormat="1" applyFont="1" applyFill="1" applyBorder="1" applyAlignment="1">
      <alignment horizontal="center" vertical="center" wrapText="1"/>
    </xf>
    <xf numFmtId="0" fontId="11" fillId="15" borderId="100" xfId="0" applyFont="1" applyFill="1" applyBorder="1" applyAlignment="1">
      <alignment horizontal="center" vertical="center" wrapText="1"/>
    </xf>
    <xf numFmtId="0" fontId="11" fillId="15" borderId="67" xfId="0" applyFont="1" applyFill="1" applyBorder="1" applyAlignment="1">
      <alignment horizontal="center" vertical="center" wrapText="1"/>
    </xf>
    <xf numFmtId="0" fontId="10" fillId="14" borderId="67" xfId="0" applyFont="1" applyFill="1" applyBorder="1" applyAlignment="1">
      <alignment horizontal="center" vertical="center" wrapText="1"/>
    </xf>
    <xf numFmtId="0" fontId="11" fillId="15" borderId="101" xfId="0" applyFont="1" applyFill="1" applyBorder="1" applyAlignment="1">
      <alignment horizontal="center" vertical="center" wrapText="1"/>
    </xf>
    <xf numFmtId="0" fontId="11" fillId="15" borderId="29" xfId="0" applyFont="1" applyFill="1" applyBorder="1" applyAlignment="1">
      <alignment horizontal="center" vertical="center" wrapText="1"/>
    </xf>
    <xf numFmtId="0" fontId="11" fillId="15" borderId="91" xfId="0" applyFont="1" applyFill="1" applyBorder="1" applyAlignment="1">
      <alignment horizontal="center" vertical="center" wrapText="1"/>
    </xf>
    <xf numFmtId="0" fontId="11" fillId="14" borderId="6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0" xfId="0" applyFont="1" applyFill="1" applyBorder="1" applyAlignment="1">
      <alignment vertical="center" wrapText="1"/>
    </xf>
    <xf numFmtId="0" fontId="7" fillId="2" borderId="55" xfId="0" applyFont="1" applyFill="1" applyBorder="1" applyAlignment="1">
      <alignment vertical="center" wrapText="1"/>
    </xf>
    <xf numFmtId="0" fontId="7" fillId="2" borderId="43" xfId="0" applyFont="1" applyFill="1" applyBorder="1" applyAlignment="1">
      <alignment horizontal="center" vertical="center" wrapText="1"/>
    </xf>
    <xf numFmtId="0" fontId="6" fillId="0" borderId="43" xfId="0" applyFont="1" applyBorder="1" applyAlignment="1">
      <alignment horizontal="center" vertical="center" wrapText="1"/>
    </xf>
    <xf numFmtId="0" fontId="6" fillId="0" borderId="43" xfId="0" applyFont="1" applyBorder="1" applyAlignment="1">
      <alignment horizontal="center"/>
    </xf>
    <xf numFmtId="14" fontId="0" fillId="0" borderId="0" xfId="0" applyNumberFormat="1" applyAlignment="1">
      <alignment wrapText="1"/>
    </xf>
    <xf numFmtId="1" fontId="6" fillId="0" borderId="60" xfId="0" applyNumberFormat="1" applyFont="1" applyBorder="1" applyAlignment="1">
      <alignment horizontal="center" vertical="center"/>
    </xf>
    <xf numFmtId="168" fontId="6" fillId="0" borderId="102" xfId="0" applyNumberFormat="1" applyFont="1" applyBorder="1" applyAlignment="1">
      <alignment horizontal="center" vertical="center"/>
    </xf>
    <xf numFmtId="49" fontId="21" fillId="4" borderId="0" xfId="0" applyNumberFormat="1" applyFont="1" applyFill="1" applyBorder="1" applyAlignment="1">
      <alignment horizontal="center" vertical="center" wrapText="1"/>
    </xf>
    <xf numFmtId="49" fontId="21" fillId="4" borderId="8" xfId="0" applyNumberFormat="1" applyFont="1" applyFill="1" applyBorder="1" applyAlignment="1">
      <alignment horizontal="center" vertical="center" wrapText="1"/>
    </xf>
    <xf numFmtId="49" fontId="23" fillId="0" borderId="0" xfId="0" applyNumberFormat="1" applyFont="1"/>
    <xf numFmtId="0" fontId="2" fillId="2" borderId="3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 fillId="0" borderId="0" xfId="0" applyFont="1" applyAlignment="1">
      <alignment horizontal="center" vertical="center" wrapText="1"/>
    </xf>
    <xf numFmtId="165" fontId="2" fillId="0" borderId="19" xfId="0" applyNumberFormat="1" applyFont="1" applyFill="1" applyBorder="1" applyAlignment="1">
      <alignment horizontal="center" vertical="center" wrapText="1"/>
    </xf>
    <xf numFmtId="49" fontId="22" fillId="16" borderId="104" xfId="0" applyNumberFormat="1" applyFont="1" applyFill="1" applyBorder="1" applyAlignment="1">
      <alignment horizontal="center" vertical="center" wrapText="1"/>
    </xf>
    <xf numFmtId="1" fontId="20" fillId="16" borderId="104" xfId="0" applyNumberFormat="1"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1" fillId="13" borderId="105" xfId="0" applyFont="1" applyFill="1" applyBorder="1" applyAlignment="1">
      <alignment horizontal="center" vertical="center" wrapText="1"/>
    </xf>
    <xf numFmtId="0" fontId="11" fillId="13" borderId="41" xfId="0" applyFont="1" applyFill="1" applyBorder="1" applyAlignment="1">
      <alignment horizontal="center" vertical="center" wrapText="1"/>
    </xf>
    <xf numFmtId="0" fontId="11" fillId="13" borderId="37" xfId="0" applyFont="1" applyFill="1" applyBorder="1" applyAlignment="1">
      <alignment horizontal="center" vertical="center" wrapText="1"/>
    </xf>
    <xf numFmtId="0" fontId="11" fillId="13" borderId="66" xfId="0" applyFont="1" applyFill="1" applyBorder="1" applyAlignment="1">
      <alignment horizontal="center" vertical="center" wrapText="1"/>
    </xf>
    <xf numFmtId="0" fontId="11" fillId="13" borderId="39"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15" borderId="26" xfId="0"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92" xfId="0" applyNumberFormat="1" applyFont="1" applyFill="1" applyBorder="1" applyAlignment="1">
      <alignment horizontal="center" vertical="center" wrapText="1"/>
    </xf>
    <xf numFmtId="10" fontId="7" fillId="2" borderId="25" xfId="1" applyNumberFormat="1" applyFont="1" applyFill="1" applyBorder="1" applyAlignment="1">
      <alignment horizontal="center" vertical="center"/>
    </xf>
    <xf numFmtId="9" fontId="7" fillId="5" borderId="30" xfId="1" applyFont="1" applyFill="1" applyBorder="1" applyAlignment="1">
      <alignment horizontal="center" vertical="center" wrapText="1"/>
    </xf>
    <xf numFmtId="168" fontId="7" fillId="5" borderId="30" xfId="0" applyNumberFormat="1" applyFont="1" applyFill="1" applyBorder="1" applyAlignment="1">
      <alignment horizontal="center" vertical="center" wrapText="1"/>
    </xf>
    <xf numFmtId="168" fontId="7" fillId="5" borderId="38" xfId="0" applyNumberFormat="1" applyFont="1" applyFill="1" applyBorder="1" applyAlignment="1">
      <alignment horizontal="center" vertical="center" wrapText="1"/>
    </xf>
    <xf numFmtId="10" fontId="7" fillId="5" borderId="31" xfId="1" applyNumberFormat="1" applyFont="1" applyFill="1" applyBorder="1" applyAlignment="1">
      <alignment horizontal="center" vertical="center" wrapText="1"/>
    </xf>
    <xf numFmtId="168" fontId="6" fillId="10" borderId="64" xfId="0" applyNumberFormat="1" applyFont="1" applyFill="1" applyBorder="1" applyAlignment="1">
      <alignment horizontal="center" vertical="center" wrapText="1"/>
    </xf>
    <xf numFmtId="168" fontId="6" fillId="10" borderId="92" xfId="0" applyNumberFormat="1" applyFont="1" applyFill="1" applyBorder="1" applyAlignment="1">
      <alignment horizontal="center" vertical="center" wrapText="1"/>
    </xf>
    <xf numFmtId="168" fontId="6" fillId="10" borderId="43" xfId="0" applyNumberFormat="1" applyFont="1" applyFill="1" applyBorder="1" applyAlignment="1">
      <alignment horizontal="center" vertical="center" wrapText="1"/>
    </xf>
    <xf numFmtId="168" fontId="6" fillId="3" borderId="64" xfId="0" applyNumberFormat="1" applyFont="1" applyFill="1" applyBorder="1" applyAlignment="1">
      <alignment horizontal="center" vertical="center" wrapText="1"/>
    </xf>
    <xf numFmtId="168" fontId="6" fillId="3" borderId="92" xfId="0" applyNumberFormat="1" applyFont="1" applyFill="1" applyBorder="1" applyAlignment="1">
      <alignment horizontal="center" vertical="center" wrapText="1"/>
    </xf>
    <xf numFmtId="168" fontId="6" fillId="3" borderId="43" xfId="0" applyNumberFormat="1" applyFont="1" applyFill="1" applyBorder="1" applyAlignment="1">
      <alignment horizontal="center" vertical="center" wrapText="1"/>
    </xf>
    <xf numFmtId="168" fontId="6" fillId="9" borderId="64" xfId="0" applyNumberFormat="1" applyFont="1" applyFill="1" applyBorder="1" applyAlignment="1">
      <alignment horizontal="center" vertical="center" wrapText="1"/>
    </xf>
    <xf numFmtId="168" fontId="6" fillId="9" borderId="92" xfId="0" applyNumberFormat="1" applyFont="1" applyFill="1" applyBorder="1" applyAlignment="1">
      <alignment horizontal="center" vertical="center" wrapText="1"/>
    </xf>
    <xf numFmtId="168" fontId="6" fillId="9" borderId="43" xfId="0" applyNumberFormat="1" applyFont="1" applyFill="1" applyBorder="1" applyAlignment="1">
      <alignment horizontal="center" vertical="center" wrapText="1"/>
    </xf>
    <xf numFmtId="168" fontId="6" fillId="11" borderId="64" xfId="0" applyNumberFormat="1" applyFont="1" applyFill="1" applyBorder="1" applyAlignment="1">
      <alignment horizontal="center" vertical="center" wrapText="1"/>
    </xf>
    <xf numFmtId="168" fontId="6" fillId="11" borderId="92" xfId="0" applyNumberFormat="1" applyFont="1" applyFill="1" applyBorder="1" applyAlignment="1">
      <alignment horizontal="center" vertical="center" wrapText="1"/>
    </xf>
    <xf numFmtId="168" fontId="6" fillId="11" borderId="43" xfId="0" applyNumberFormat="1" applyFont="1" applyFill="1" applyBorder="1" applyAlignment="1">
      <alignment horizontal="center" vertical="center" wrapText="1"/>
    </xf>
    <xf numFmtId="168" fontId="6" fillId="10" borderId="16" xfId="0" applyNumberFormat="1" applyFont="1" applyFill="1" applyBorder="1" applyAlignment="1">
      <alignment horizontal="center" vertical="center" wrapText="1"/>
    </xf>
    <xf numFmtId="168" fontId="6" fillId="10" borderId="95" xfId="0" applyNumberFormat="1" applyFont="1" applyFill="1" applyBorder="1" applyAlignment="1">
      <alignment horizontal="center" vertical="center" wrapText="1"/>
    </xf>
    <xf numFmtId="168" fontId="6" fillId="10" borderId="85" xfId="0" applyNumberFormat="1" applyFont="1" applyFill="1" applyBorder="1" applyAlignment="1">
      <alignment horizontal="center" vertical="center" wrapText="1"/>
    </xf>
    <xf numFmtId="168" fontId="6" fillId="10" borderId="93" xfId="0" applyNumberFormat="1" applyFont="1" applyFill="1" applyBorder="1" applyAlignment="1">
      <alignment horizontal="center" vertical="center" wrapText="1"/>
    </xf>
    <xf numFmtId="168" fontId="6" fillId="3" borderId="93" xfId="0" applyNumberFormat="1" applyFont="1" applyFill="1" applyBorder="1" applyAlignment="1">
      <alignment horizontal="center" vertical="center" wrapText="1"/>
    </xf>
    <xf numFmtId="168" fontId="6" fillId="5" borderId="24" xfId="0" applyNumberFormat="1" applyFont="1" applyFill="1" applyBorder="1" applyAlignment="1">
      <alignment horizontal="center" vertical="center" wrapText="1"/>
    </xf>
    <xf numFmtId="168" fontId="6" fillId="5" borderId="37" xfId="0" applyNumberFormat="1" applyFont="1" applyFill="1" applyBorder="1" applyAlignment="1">
      <alignment horizontal="center" vertical="center" wrapText="1"/>
    </xf>
    <xf numFmtId="168" fontId="6" fillId="5" borderId="43" xfId="0" applyNumberFormat="1" applyFont="1" applyFill="1" applyBorder="1" applyAlignment="1">
      <alignment horizontal="center" vertical="center" wrapText="1"/>
    </xf>
    <xf numFmtId="0" fontId="6" fillId="0" borderId="52" xfId="0" applyFont="1" applyBorder="1" applyAlignment="1">
      <alignment horizontal="center" wrapText="1"/>
    </xf>
    <xf numFmtId="0" fontId="6" fillId="0" borderId="0" xfId="0" applyFont="1" applyBorder="1" applyAlignment="1">
      <alignment horizontal="center" wrapText="1"/>
    </xf>
    <xf numFmtId="0" fontId="6" fillId="0" borderId="78" xfId="0" applyFont="1" applyBorder="1" applyAlignment="1">
      <alignment horizontal="center" wrapText="1"/>
    </xf>
    <xf numFmtId="168" fontId="6" fillId="5" borderId="25" xfId="0" applyNumberFormat="1" applyFont="1" applyFill="1" applyBorder="1" applyAlignment="1">
      <alignment horizontal="center" vertical="center" wrapText="1"/>
    </xf>
    <xf numFmtId="10" fontId="6" fillId="0" borderId="27" xfId="1" applyNumberFormat="1" applyFont="1" applyBorder="1" applyAlignment="1">
      <alignment horizontal="center" vertical="center" wrapText="1"/>
    </xf>
    <xf numFmtId="168" fontId="6" fillId="0" borderId="66" xfId="0" applyNumberFormat="1" applyFont="1" applyFill="1" applyBorder="1" applyAlignment="1">
      <alignment horizontal="center" vertical="center" wrapText="1"/>
    </xf>
    <xf numFmtId="10" fontId="6" fillId="0" borderId="63" xfId="1" applyNumberFormat="1" applyFont="1" applyBorder="1" applyAlignment="1">
      <alignment horizontal="center" wrapText="1"/>
    </xf>
    <xf numFmtId="168" fontId="6" fillId="0" borderId="67" xfId="0" applyNumberFormat="1" applyFont="1" applyFill="1" applyBorder="1" applyAlignment="1">
      <alignment horizontal="center" vertical="center" wrapText="1"/>
    </xf>
    <xf numFmtId="168" fontId="6" fillId="0" borderId="29" xfId="0" applyNumberFormat="1" applyFont="1" applyFill="1" applyBorder="1" applyAlignment="1">
      <alignment horizontal="center" vertical="center" wrapText="1"/>
    </xf>
    <xf numFmtId="10" fontId="6" fillId="0" borderId="58" xfId="1" applyNumberFormat="1" applyFont="1" applyFill="1" applyBorder="1" applyAlignment="1">
      <alignment horizontal="center" vertical="center"/>
    </xf>
    <xf numFmtId="165" fontId="6" fillId="0" borderId="53" xfId="0" applyNumberFormat="1" applyFont="1" applyFill="1" applyBorder="1" applyAlignment="1">
      <alignment horizontal="center" vertical="center"/>
    </xf>
    <xf numFmtId="10" fontId="6" fillId="0" borderId="44" xfId="1" applyNumberFormat="1" applyFont="1" applyBorder="1" applyAlignment="1">
      <alignment horizontal="center" wrapText="1"/>
    </xf>
    <xf numFmtId="165" fontId="6" fillId="0" borderId="44" xfId="0" applyNumberFormat="1" applyFont="1" applyBorder="1" applyAlignment="1">
      <alignment horizontal="center" vertical="center" wrapText="1"/>
    </xf>
    <xf numFmtId="10" fontId="6" fillId="0" borderId="27" xfId="1" applyNumberFormat="1" applyFont="1" applyBorder="1" applyAlignment="1">
      <alignment horizontal="center" wrapText="1"/>
    </xf>
    <xf numFmtId="168" fontId="6" fillId="0" borderId="26" xfId="0" applyNumberFormat="1" applyFont="1" applyBorder="1" applyAlignment="1">
      <alignment horizontal="center" vertical="center" wrapText="1"/>
    </xf>
    <xf numFmtId="10" fontId="6" fillId="0" borderId="28" xfId="1" applyNumberFormat="1" applyFont="1" applyBorder="1" applyAlignment="1">
      <alignment horizontal="center" wrapText="1"/>
    </xf>
    <xf numFmtId="168" fontId="6" fillId="0" borderId="67" xfId="0" applyNumberFormat="1" applyFont="1" applyBorder="1" applyAlignment="1">
      <alignment horizontal="center" vertical="center" wrapText="1"/>
    </xf>
    <xf numFmtId="10" fontId="6" fillId="0" borderId="31" xfId="1" applyNumberFormat="1" applyFont="1" applyBorder="1" applyAlignment="1">
      <alignment horizontal="center" wrapText="1"/>
    </xf>
    <xf numFmtId="168" fontId="6" fillId="0" borderId="29" xfId="0" applyNumberFormat="1" applyFont="1" applyBorder="1" applyAlignment="1">
      <alignment horizontal="center" vertical="center" wrapText="1"/>
    </xf>
    <xf numFmtId="168" fontId="6" fillId="5" borderId="41" xfId="0" applyNumberFormat="1" applyFont="1" applyFill="1" applyBorder="1" applyAlignment="1">
      <alignment horizontal="center" wrapText="1"/>
    </xf>
    <xf numFmtId="168" fontId="6" fillId="10" borderId="90" xfId="0" applyNumberFormat="1" applyFont="1" applyFill="1" applyBorder="1" applyAlignment="1">
      <alignment horizontal="center" vertical="center" wrapText="1"/>
    </xf>
    <xf numFmtId="168" fontId="6" fillId="10" borderId="39" xfId="0" applyNumberFormat="1" applyFont="1" applyFill="1" applyBorder="1" applyAlignment="1">
      <alignment horizontal="center" vertical="center" wrapText="1"/>
    </xf>
    <xf numFmtId="168" fontId="6" fillId="3" borderId="90" xfId="0" applyNumberFormat="1" applyFont="1" applyFill="1" applyBorder="1" applyAlignment="1">
      <alignment horizontal="center" vertical="center" wrapText="1"/>
    </xf>
    <xf numFmtId="168" fontId="6" fillId="3" borderId="39" xfId="0" applyNumberFormat="1" applyFont="1" applyFill="1" applyBorder="1" applyAlignment="1">
      <alignment horizontal="center" vertical="center" wrapText="1"/>
    </xf>
    <xf numFmtId="168" fontId="6" fillId="9" borderId="90" xfId="0" applyNumberFormat="1" applyFont="1" applyFill="1" applyBorder="1" applyAlignment="1">
      <alignment horizontal="center" vertical="center" wrapText="1"/>
    </xf>
    <xf numFmtId="168" fontId="6" fillId="9" borderId="39" xfId="0" applyNumberFormat="1" applyFont="1" applyFill="1" applyBorder="1" applyAlignment="1">
      <alignment horizontal="center" vertical="center" wrapText="1"/>
    </xf>
    <xf numFmtId="168" fontId="6" fillId="11" borderId="90" xfId="0" applyNumberFormat="1" applyFont="1" applyFill="1" applyBorder="1" applyAlignment="1">
      <alignment horizontal="center" vertical="center" wrapText="1"/>
    </xf>
    <xf numFmtId="168" fontId="6" fillId="11" borderId="39" xfId="0" applyNumberFormat="1" applyFont="1" applyFill="1" applyBorder="1" applyAlignment="1">
      <alignment horizontal="center" vertical="center" wrapText="1"/>
    </xf>
    <xf numFmtId="168" fontId="6" fillId="10" borderId="28" xfId="0" applyNumberFormat="1" applyFont="1" applyFill="1" applyBorder="1" applyAlignment="1">
      <alignment horizontal="center" vertical="center" wrapText="1"/>
    </xf>
    <xf numFmtId="168" fontId="6" fillId="3" borderId="16" xfId="0" applyNumberFormat="1" applyFont="1" applyFill="1" applyBorder="1" applyAlignment="1">
      <alignment horizontal="center" vertical="center" wrapText="1"/>
    </xf>
    <xf numFmtId="168" fontId="6" fillId="3" borderId="28" xfId="0" applyNumberFormat="1" applyFont="1" applyFill="1" applyBorder="1" applyAlignment="1">
      <alignment horizontal="center" vertical="center" wrapText="1"/>
    </xf>
    <xf numFmtId="168" fontId="6" fillId="9" borderId="16" xfId="0" applyNumberFormat="1" applyFont="1" applyFill="1" applyBorder="1" applyAlignment="1">
      <alignment horizontal="center" vertical="center" wrapText="1"/>
    </xf>
    <xf numFmtId="168" fontId="6" fillId="9" borderId="28" xfId="0" applyNumberFormat="1" applyFont="1" applyFill="1" applyBorder="1" applyAlignment="1">
      <alignment horizontal="center" vertical="center" wrapText="1"/>
    </xf>
    <xf numFmtId="168" fontId="6" fillId="11" borderId="16" xfId="0" applyNumberFormat="1" applyFont="1" applyFill="1" applyBorder="1" applyAlignment="1">
      <alignment horizontal="center" vertical="center" wrapText="1"/>
    </xf>
    <xf numFmtId="168" fontId="6" fillId="11" borderId="28" xfId="0" applyNumberFormat="1" applyFont="1" applyFill="1" applyBorder="1" applyAlignment="1">
      <alignment horizontal="center" vertical="center" wrapText="1"/>
    </xf>
    <xf numFmtId="168" fontId="6" fillId="10" borderId="98" xfId="0" applyNumberFormat="1" applyFont="1" applyFill="1" applyBorder="1" applyAlignment="1">
      <alignment horizontal="center" vertical="center" wrapText="1"/>
    </xf>
    <xf numFmtId="168" fontId="6" fillId="3" borderId="85" xfId="0" applyNumberFormat="1" applyFont="1" applyFill="1" applyBorder="1" applyAlignment="1">
      <alignment horizontal="center" vertical="center" wrapText="1"/>
    </xf>
    <xf numFmtId="168" fontId="6" fillId="3" borderId="98" xfId="0" applyNumberFormat="1" applyFont="1" applyFill="1" applyBorder="1" applyAlignment="1">
      <alignment horizontal="center" vertical="center" wrapText="1"/>
    </xf>
    <xf numFmtId="168" fontId="6" fillId="9" borderId="85" xfId="0" applyNumberFormat="1" applyFont="1" applyFill="1" applyBorder="1" applyAlignment="1">
      <alignment horizontal="center" vertical="center" wrapText="1"/>
    </xf>
    <xf numFmtId="168" fontId="6" fillId="9" borderId="98" xfId="0" applyNumberFormat="1" applyFont="1" applyFill="1" applyBorder="1" applyAlignment="1">
      <alignment horizontal="center" vertical="center" wrapText="1"/>
    </xf>
    <xf numFmtId="168" fontId="6" fillId="11" borderId="85" xfId="0" applyNumberFormat="1" applyFont="1" applyFill="1" applyBorder="1" applyAlignment="1">
      <alignment horizontal="center" vertical="center" wrapText="1"/>
    </xf>
    <xf numFmtId="168" fontId="6" fillId="11" borderId="98" xfId="0" applyNumberFormat="1" applyFont="1" applyFill="1" applyBorder="1" applyAlignment="1">
      <alignment horizontal="center" vertical="center" wrapText="1"/>
    </xf>
    <xf numFmtId="168" fontId="6" fillId="10" borderId="30" xfId="0" applyNumberFormat="1" applyFont="1" applyFill="1" applyBorder="1" applyAlignment="1">
      <alignment horizontal="center" vertical="center" wrapText="1"/>
    </xf>
    <xf numFmtId="168" fontId="6" fillId="10" borderId="31" xfId="0" applyNumberFormat="1" applyFont="1" applyFill="1" applyBorder="1" applyAlignment="1">
      <alignment horizontal="center" vertical="center" wrapText="1"/>
    </xf>
    <xf numFmtId="168" fontId="6" fillId="3" borderId="30" xfId="0" applyNumberFormat="1" applyFont="1" applyFill="1" applyBorder="1" applyAlignment="1">
      <alignment horizontal="center" vertical="center" wrapText="1"/>
    </xf>
    <xf numFmtId="168" fontId="6" fillId="3" borderId="31" xfId="0" applyNumberFormat="1" applyFont="1" applyFill="1" applyBorder="1" applyAlignment="1">
      <alignment horizontal="center" vertical="center" wrapText="1"/>
    </xf>
    <xf numFmtId="168" fontId="6" fillId="9" borderId="30" xfId="0" applyNumberFormat="1" applyFont="1" applyFill="1" applyBorder="1" applyAlignment="1">
      <alignment horizontal="center" vertical="center" wrapText="1"/>
    </xf>
    <xf numFmtId="168" fontId="6" fillId="9" borderId="31" xfId="0" applyNumberFormat="1" applyFont="1" applyFill="1" applyBorder="1" applyAlignment="1">
      <alignment horizontal="center" vertical="center" wrapText="1"/>
    </xf>
    <xf numFmtId="168" fontId="6" fillId="11" borderId="30" xfId="0" applyNumberFormat="1" applyFont="1" applyFill="1" applyBorder="1" applyAlignment="1">
      <alignment horizontal="center" vertical="center" wrapText="1"/>
    </xf>
    <xf numFmtId="168" fontId="6" fillId="11" borderId="31" xfId="0" applyNumberFormat="1" applyFont="1" applyFill="1" applyBorder="1" applyAlignment="1">
      <alignment horizontal="center" vertical="center" wrapText="1"/>
    </xf>
    <xf numFmtId="168" fontId="6" fillId="5" borderId="24" xfId="0" applyNumberFormat="1" applyFont="1" applyFill="1" applyBorder="1" applyAlignment="1">
      <alignment horizontal="center" wrapText="1"/>
    </xf>
    <xf numFmtId="168" fontId="6" fillId="5" borderId="25" xfId="0" applyNumberFormat="1" applyFont="1" applyFill="1" applyBorder="1" applyAlignment="1">
      <alignment horizontal="center" wrapText="1"/>
    </xf>
    <xf numFmtId="168" fontId="6" fillId="5" borderId="43" xfId="0" applyNumberFormat="1" applyFont="1" applyFill="1" applyBorder="1" applyAlignment="1">
      <alignment horizontal="center" wrapText="1"/>
    </xf>
    <xf numFmtId="168" fontId="6" fillId="5" borderId="33" xfId="0" applyNumberFormat="1" applyFont="1" applyFill="1" applyBorder="1" applyAlignment="1">
      <alignment horizontal="center" wrapText="1"/>
    </xf>
    <xf numFmtId="168" fontId="6" fillId="10" borderId="94" xfId="0" applyNumberFormat="1" applyFont="1" applyFill="1" applyBorder="1" applyAlignment="1">
      <alignment horizontal="center" vertical="center" wrapText="1"/>
    </xf>
    <xf numFmtId="168" fontId="6" fillId="3" borderId="94" xfId="0" applyNumberFormat="1" applyFont="1" applyFill="1" applyBorder="1" applyAlignment="1">
      <alignment horizontal="center" vertical="center" wrapText="1"/>
    </xf>
    <xf numFmtId="168" fontId="6" fillId="10" borderId="38" xfId="0" applyNumberFormat="1" applyFont="1" applyFill="1" applyBorder="1" applyAlignment="1">
      <alignment horizontal="center" vertical="center" wrapText="1"/>
    </xf>
    <xf numFmtId="168" fontId="6" fillId="3" borderId="38" xfId="0" applyNumberFormat="1" applyFont="1" applyFill="1" applyBorder="1" applyAlignment="1">
      <alignment horizontal="center" vertical="center" wrapText="1"/>
    </xf>
    <xf numFmtId="10" fontId="6" fillId="0" borderId="39" xfId="1" applyNumberFormat="1" applyFont="1" applyBorder="1" applyAlignment="1">
      <alignment horizontal="center" wrapText="1"/>
    </xf>
    <xf numFmtId="168" fontId="6" fillId="0" borderId="30" xfId="0" applyNumberFormat="1" applyFont="1" applyBorder="1" applyAlignment="1">
      <alignment horizontal="center" vertical="center" wrapText="1"/>
    </xf>
    <xf numFmtId="10" fontId="7" fillId="5" borderId="25" xfId="1" applyNumberFormat="1" applyFont="1" applyFill="1" applyBorder="1" applyAlignment="1">
      <alignment horizontal="center" vertical="center"/>
    </xf>
    <xf numFmtId="168" fontId="7" fillId="5" borderId="23" xfId="0" applyNumberFormat="1" applyFont="1" applyFill="1" applyBorder="1" applyAlignment="1">
      <alignment horizontal="center" vertical="center" wrapText="1"/>
    </xf>
    <xf numFmtId="10" fontId="7" fillId="6" borderId="25" xfId="1" applyNumberFormat="1" applyFont="1" applyFill="1" applyBorder="1" applyAlignment="1">
      <alignment horizontal="center" vertical="center"/>
    </xf>
    <xf numFmtId="0" fontId="7" fillId="5" borderId="23" xfId="0" applyFont="1" applyFill="1" applyBorder="1" applyAlignment="1">
      <alignment horizontal="center" wrapText="1"/>
    </xf>
    <xf numFmtId="9" fontId="7" fillId="5" borderId="37" xfId="1" applyFont="1" applyFill="1" applyBorder="1" applyAlignment="1">
      <alignment horizontal="center" wrapText="1"/>
    </xf>
    <xf numFmtId="9" fontId="7" fillId="5" borderId="25" xfId="0" applyNumberFormat="1" applyFont="1" applyFill="1" applyBorder="1" applyAlignment="1">
      <alignment horizontal="center" wrapText="1"/>
    </xf>
    <xf numFmtId="168" fontId="7" fillId="5" borderId="43" xfId="0" applyNumberFormat="1"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5" borderId="43" xfId="0" applyFont="1" applyFill="1" applyBorder="1" applyAlignment="1">
      <alignment horizontal="center" wrapText="1"/>
    </xf>
    <xf numFmtId="0" fontId="7" fillId="5" borderId="23" xfId="0" applyFont="1" applyFill="1" applyBorder="1" applyAlignment="1">
      <alignment horizontal="center" vertical="center" wrapText="1"/>
    </xf>
    <xf numFmtId="10" fontId="7" fillId="5" borderId="25" xfId="1" applyNumberFormat="1" applyFont="1" applyFill="1" applyBorder="1" applyAlignment="1">
      <alignment horizontal="center" wrapText="1"/>
    </xf>
    <xf numFmtId="168" fontId="7" fillId="5" borderId="41" xfId="0" applyNumberFormat="1" applyFont="1" applyFill="1" applyBorder="1" applyAlignment="1">
      <alignment horizontal="center" wrapText="1"/>
    </xf>
    <xf numFmtId="10" fontId="7" fillId="5" borderId="25" xfId="0" applyNumberFormat="1" applyFont="1" applyFill="1" applyBorder="1" applyAlignment="1">
      <alignment horizontal="center" wrapText="1"/>
    </xf>
    <xf numFmtId="2" fontId="7" fillId="0" borderId="43" xfId="1" applyNumberFormat="1" applyFont="1" applyFill="1" applyBorder="1" applyAlignment="1">
      <alignment horizontal="center" vertical="center"/>
    </xf>
    <xf numFmtId="0" fontId="7" fillId="5" borderId="43" xfId="0" applyFont="1" applyFill="1" applyBorder="1" applyAlignment="1">
      <alignment horizontal="right"/>
    </xf>
    <xf numFmtId="0" fontId="7" fillId="5" borderId="43" xfId="0" applyFont="1" applyFill="1" applyBorder="1" applyAlignment="1">
      <alignment horizontal="center"/>
    </xf>
    <xf numFmtId="0" fontId="7" fillId="6" borderId="23" xfId="0" applyFont="1" applyFill="1" applyBorder="1" applyAlignment="1">
      <alignment horizontal="center" vertical="center" wrapText="1"/>
    </xf>
    <xf numFmtId="10" fontId="6" fillId="2" borderId="46" xfId="0" applyNumberFormat="1" applyFont="1" applyFill="1" applyBorder="1" applyAlignment="1">
      <alignment horizontal="center" vertical="center" wrapText="1"/>
    </xf>
    <xf numFmtId="10" fontId="6" fillId="0" borderId="27" xfId="1" applyNumberFormat="1" applyFont="1" applyBorder="1" applyAlignment="1">
      <alignment horizontal="center" vertical="center"/>
    </xf>
    <xf numFmtId="168" fontId="6" fillId="2" borderId="26" xfId="0" applyNumberFormat="1" applyFont="1" applyFill="1" applyBorder="1" applyAlignment="1">
      <alignment horizontal="center" vertical="center" wrapText="1"/>
    </xf>
    <xf numFmtId="10" fontId="6" fillId="2" borderId="27" xfId="1" applyNumberFormat="1" applyFont="1" applyFill="1" applyBorder="1" applyAlignment="1">
      <alignment horizontal="center" vertical="center" wrapText="1"/>
    </xf>
    <xf numFmtId="168" fontId="6" fillId="0" borderId="42" xfId="0" applyNumberFormat="1" applyFont="1" applyBorder="1" applyAlignment="1">
      <alignment horizontal="center" vertical="center"/>
    </xf>
    <xf numFmtId="10" fontId="7" fillId="2" borderId="45" xfId="0" applyNumberFormat="1" applyFont="1" applyFill="1" applyBorder="1" applyAlignment="1">
      <alignment horizontal="center" vertical="center" wrapText="1"/>
    </xf>
    <xf numFmtId="168" fontId="7" fillId="2" borderId="23" xfId="1" applyNumberFormat="1" applyFont="1" applyFill="1" applyBorder="1" applyAlignment="1">
      <alignment horizontal="center" vertical="center"/>
    </xf>
    <xf numFmtId="168" fontId="7" fillId="5" borderId="41" xfId="0" applyNumberFormat="1" applyFont="1" applyFill="1" applyBorder="1" applyAlignment="1">
      <alignment horizontal="center" vertical="center"/>
    </xf>
    <xf numFmtId="168" fontId="7" fillId="6" borderId="42" xfId="0" applyNumberFormat="1" applyFont="1" applyFill="1" applyBorder="1" applyAlignment="1">
      <alignment horizontal="center" vertical="center"/>
    </xf>
    <xf numFmtId="10" fontId="7" fillId="2" borderId="45" xfId="0" applyNumberFormat="1" applyFont="1" applyFill="1" applyBorder="1" applyAlignment="1">
      <alignment horizontal="center" vertical="center"/>
    </xf>
    <xf numFmtId="10" fontId="7" fillId="5" borderId="25" xfId="0" applyNumberFormat="1" applyFont="1" applyFill="1" applyBorder="1" applyAlignment="1">
      <alignment horizontal="center" vertical="center"/>
    </xf>
    <xf numFmtId="168" fontId="6" fillId="2" borderId="90" xfId="0" applyNumberFormat="1" applyFont="1" applyFill="1" applyBorder="1" applyAlignment="1">
      <alignment horizontal="center" vertical="center" wrapText="1"/>
    </xf>
    <xf numFmtId="168" fontId="6" fillId="2" borderId="43" xfId="0" applyNumberFormat="1" applyFont="1" applyFill="1" applyBorder="1" applyAlignment="1">
      <alignment horizontal="center" vertical="center" wrapText="1"/>
    </xf>
    <xf numFmtId="168" fontId="6" fillId="2" borderId="16" xfId="0" applyNumberFormat="1" applyFont="1" applyFill="1" applyBorder="1" applyAlignment="1">
      <alignment horizontal="center" vertical="center" wrapText="1"/>
    </xf>
    <xf numFmtId="168" fontId="6" fillId="2" borderId="30" xfId="0" applyNumberFormat="1" applyFont="1" applyFill="1" applyBorder="1" applyAlignment="1">
      <alignment horizontal="center" vertical="center" wrapText="1"/>
    </xf>
    <xf numFmtId="168" fontId="6" fillId="2" borderId="24" xfId="0" applyNumberFormat="1" applyFont="1" applyFill="1" applyBorder="1" applyAlignment="1">
      <alignment horizontal="center" vertical="center" wrapText="1"/>
    </xf>
    <xf numFmtId="168" fontId="6" fillId="2" borderId="66" xfId="0" applyNumberFormat="1" applyFont="1" applyFill="1" applyBorder="1" applyAlignment="1">
      <alignment horizontal="center" vertical="center" wrapText="1"/>
    </xf>
    <xf numFmtId="168" fontId="6" fillId="2" borderId="64" xfId="0" applyNumberFormat="1" applyFont="1" applyFill="1" applyBorder="1" applyAlignment="1">
      <alignment horizontal="center" vertical="center" wrapText="1"/>
    </xf>
    <xf numFmtId="168" fontId="6" fillId="2" borderId="67" xfId="0" applyNumberFormat="1" applyFont="1" applyFill="1" applyBorder="1" applyAlignment="1">
      <alignment horizontal="center" vertical="center" wrapText="1"/>
    </xf>
    <xf numFmtId="168" fontId="6" fillId="2" borderId="85" xfId="0" applyNumberFormat="1" applyFont="1" applyFill="1" applyBorder="1" applyAlignment="1">
      <alignment horizontal="center" vertical="center" wrapText="1"/>
    </xf>
    <xf numFmtId="168" fontId="6" fillId="2" borderId="29" xfId="0" applyNumberFormat="1" applyFont="1" applyFill="1" applyBorder="1" applyAlignment="1">
      <alignment horizontal="center" vertical="center" wrapText="1"/>
    </xf>
    <xf numFmtId="168" fontId="7" fillId="2" borderId="23" xfId="0" applyNumberFormat="1" applyFont="1" applyFill="1" applyBorder="1" applyAlignment="1">
      <alignment horizontal="center" vertical="center" wrapText="1"/>
    </xf>
    <xf numFmtId="168" fontId="7" fillId="5" borderId="24" xfId="0" applyNumberFormat="1" applyFont="1" applyFill="1" applyBorder="1" applyAlignment="1">
      <alignment horizontal="center" vertical="center" wrapText="1"/>
    </xf>
    <xf numFmtId="168" fontId="7" fillId="2" borderId="24" xfId="0" applyNumberFormat="1" applyFont="1" applyFill="1" applyBorder="1" applyAlignment="1">
      <alignment horizontal="center" vertical="center" wrapText="1"/>
    </xf>
    <xf numFmtId="168" fontId="7" fillId="2" borderId="43" xfId="0" applyNumberFormat="1" applyFont="1" applyFill="1" applyBorder="1" applyAlignment="1">
      <alignment horizontal="center" vertical="center" wrapText="1"/>
    </xf>
    <xf numFmtId="168" fontId="6" fillId="2" borderId="27" xfId="0" applyNumberFormat="1" applyFont="1" applyFill="1" applyBorder="1" applyAlignment="1">
      <alignment horizontal="center" vertical="center" wrapText="1"/>
    </xf>
    <xf numFmtId="10" fontId="6" fillId="0" borderId="64" xfId="0" applyNumberFormat="1" applyFont="1" applyFill="1" applyBorder="1" applyAlignment="1">
      <alignment horizontal="center" vertical="center" wrapText="1"/>
    </xf>
    <xf numFmtId="168" fontId="6" fillId="0" borderId="65" xfId="0" applyNumberFormat="1" applyFont="1" applyBorder="1" applyAlignment="1">
      <alignment horizontal="center" vertical="center"/>
    </xf>
    <xf numFmtId="168" fontId="6" fillId="0" borderId="63" xfId="0" applyNumberFormat="1" applyFont="1" applyFill="1" applyBorder="1" applyAlignment="1">
      <alignment horizontal="center" vertical="center" wrapText="1"/>
    </xf>
    <xf numFmtId="168" fontId="7" fillId="2" borderId="25" xfId="0" applyNumberFormat="1" applyFont="1" applyFill="1" applyBorder="1" applyAlignment="1">
      <alignment horizontal="center" wrapText="1"/>
    </xf>
    <xf numFmtId="10" fontId="7" fillId="6" borderId="24" xfId="0" applyNumberFormat="1" applyFont="1" applyFill="1" applyBorder="1" applyAlignment="1">
      <alignment horizontal="center" wrapText="1"/>
    </xf>
    <xf numFmtId="168" fontId="7" fillId="5" borderId="43" xfId="0" applyNumberFormat="1" applyFont="1" applyFill="1" applyBorder="1" applyAlignment="1">
      <alignment horizontal="center" wrapText="1"/>
    </xf>
    <xf numFmtId="10" fontId="6" fillId="2" borderId="92" xfId="0" applyNumberFormat="1" applyFont="1" applyFill="1" applyBorder="1" applyAlignment="1">
      <alignment horizontal="center" vertical="center" wrapText="1"/>
    </xf>
    <xf numFmtId="10" fontId="6" fillId="2" borderId="39" xfId="0" applyNumberFormat="1" applyFont="1" applyFill="1" applyBorder="1" applyAlignment="1">
      <alignment horizontal="center" vertical="center" wrapText="1"/>
    </xf>
    <xf numFmtId="168" fontId="6" fillId="2" borderId="56" xfId="0" applyNumberFormat="1" applyFont="1" applyFill="1" applyBorder="1" applyAlignment="1">
      <alignment horizontal="center" vertical="center" wrapText="1"/>
    </xf>
    <xf numFmtId="10" fontId="6" fillId="2" borderId="57" xfId="0" applyNumberFormat="1" applyFont="1" applyFill="1" applyBorder="1" applyAlignment="1">
      <alignment horizontal="center" vertical="center" wrapText="1"/>
    </xf>
    <xf numFmtId="10" fontId="7" fillId="2" borderId="25" xfId="0" applyNumberFormat="1" applyFont="1" applyFill="1" applyBorder="1" applyAlignment="1">
      <alignment horizontal="center" wrapText="1"/>
    </xf>
    <xf numFmtId="168" fontId="7" fillId="2" borderId="23" xfId="0" applyNumberFormat="1" applyFont="1" applyFill="1" applyBorder="1" applyAlignment="1">
      <alignment horizontal="center" wrapText="1"/>
    </xf>
    <xf numFmtId="0" fontId="6"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49" fontId="4" fillId="0" borderId="11" xfId="0" applyNumberFormat="1" applyFont="1" applyFill="1" applyBorder="1" applyAlignment="1">
      <alignment horizontal="center" vertical="center" wrapText="1"/>
    </xf>
    <xf numFmtId="0" fontId="17" fillId="17" borderId="106" xfId="0" applyNumberFormat="1" applyFont="1" applyFill="1" applyBorder="1" applyAlignment="1">
      <alignment horizontal="center" vertical="center" wrapText="1"/>
    </xf>
    <xf numFmtId="49" fontId="17" fillId="0" borderId="106" xfId="16" applyNumberFormat="1" applyFont="1" applyFill="1" applyBorder="1" applyAlignment="1">
      <alignment horizontal="center" vertical="center" wrapText="1"/>
    </xf>
    <xf numFmtId="0" fontId="17" fillId="0" borderId="106" xfId="0" applyFont="1" applyFill="1" applyBorder="1" applyAlignment="1">
      <alignment horizontal="center" vertical="center" wrapText="1"/>
    </xf>
    <xf numFmtId="49" fontId="17" fillId="0" borderId="106" xfId="0" applyNumberFormat="1" applyFont="1" applyFill="1" applyBorder="1" applyAlignment="1">
      <alignment horizontal="center" vertical="center" wrapText="1"/>
    </xf>
    <xf numFmtId="169" fontId="17" fillId="0" borderId="106" xfId="0" applyNumberFormat="1" applyFont="1" applyFill="1" applyBorder="1" applyAlignment="1">
      <alignment horizontal="center" vertical="center" wrapText="1"/>
    </xf>
    <xf numFmtId="166" fontId="17" fillId="0" borderId="106" xfId="0" applyNumberFormat="1" applyFont="1" applyFill="1" applyBorder="1" applyAlignment="1">
      <alignment horizontal="center" vertical="center" wrapText="1"/>
    </xf>
    <xf numFmtId="0" fontId="26" fillId="0" borderId="106" xfId="17" applyFont="1" applyFill="1" applyBorder="1" applyAlignment="1">
      <alignment horizontal="center" vertical="center" wrapText="1"/>
    </xf>
    <xf numFmtId="49" fontId="2" fillId="0" borderId="106" xfId="0" applyNumberFormat="1" applyFont="1" applyFill="1" applyBorder="1" applyAlignment="1">
      <alignment horizontal="center" vertical="center" wrapText="1"/>
    </xf>
    <xf numFmtId="166" fontId="8" fillId="0" borderId="106" xfId="0" applyNumberFormat="1" applyFont="1" applyFill="1" applyBorder="1" applyAlignment="1">
      <alignment horizontal="center" vertical="center" wrapText="1"/>
    </xf>
    <xf numFmtId="0" fontId="8" fillId="0" borderId="106" xfId="0" applyFont="1" applyFill="1" applyBorder="1" applyAlignment="1">
      <alignment horizontal="center" vertical="center" wrapText="1"/>
    </xf>
    <xf numFmtId="0" fontId="17" fillId="0" borderId="106" xfId="17" applyFont="1" applyFill="1" applyBorder="1" applyAlignment="1">
      <alignment horizontal="center" vertical="center" wrapText="1"/>
    </xf>
    <xf numFmtId="0" fontId="8" fillId="0" borderId="106" xfId="0" applyFont="1" applyBorder="1" applyAlignment="1">
      <alignment horizontal="center" vertical="center"/>
    </xf>
    <xf numFmtId="1" fontId="17" fillId="0" borderId="106" xfId="0" applyNumberFormat="1" applyFont="1" applyFill="1" applyBorder="1" applyAlignment="1">
      <alignment horizontal="center" vertical="center"/>
    </xf>
    <xf numFmtId="0" fontId="17" fillId="0" borderId="106" xfId="0" applyNumberFormat="1" applyFont="1" applyFill="1" applyBorder="1" applyAlignment="1">
      <alignment horizontal="center" vertical="center" wrapText="1"/>
    </xf>
    <xf numFmtId="0" fontId="17" fillId="0" borderId="106" xfId="18" applyNumberFormat="1" applyFont="1" applyFill="1" applyBorder="1" applyAlignment="1">
      <alignment horizontal="center" vertical="center" wrapText="1"/>
    </xf>
    <xf numFmtId="0" fontId="17" fillId="0" borderId="106" xfId="0" applyNumberFormat="1" applyFont="1" applyFill="1" applyBorder="1" applyAlignment="1">
      <alignment horizontal="center" vertical="center"/>
    </xf>
    <xf numFmtId="0" fontId="28" fillId="0" borderId="106" xfId="0" applyFont="1" applyFill="1" applyBorder="1" applyAlignment="1">
      <alignment horizontal="center" vertical="center" wrapText="1"/>
    </xf>
    <xf numFmtId="0" fontId="8" fillId="18" borderId="106" xfId="0" applyFont="1" applyFill="1" applyBorder="1" applyAlignment="1">
      <alignment horizontal="center" vertical="center" wrapText="1"/>
    </xf>
    <xf numFmtId="0" fontId="8" fillId="0" borderId="106" xfId="0" applyFont="1" applyFill="1" applyBorder="1" applyAlignment="1">
      <alignment horizontal="center" vertical="center"/>
    </xf>
    <xf numFmtId="169" fontId="8" fillId="0" borderId="106" xfId="0" applyNumberFormat="1" applyFont="1" applyFill="1" applyBorder="1" applyAlignment="1">
      <alignment horizontal="center" vertical="center" wrapText="1"/>
    </xf>
    <xf numFmtId="49" fontId="8" fillId="0" borderId="106" xfId="0" applyNumberFormat="1" applyFont="1" applyFill="1" applyBorder="1" applyAlignment="1">
      <alignment horizontal="center" vertical="center"/>
    </xf>
    <xf numFmtId="166" fontId="8" fillId="0" borderId="106" xfId="0" applyNumberFormat="1" applyFont="1" applyFill="1" applyBorder="1" applyAlignment="1">
      <alignment horizontal="center" vertical="center"/>
    </xf>
    <xf numFmtId="49" fontId="17" fillId="18" borderId="106" xfId="16" applyNumberFormat="1" applyFont="1" applyFill="1" applyBorder="1" applyAlignment="1">
      <alignment horizontal="center" vertical="center" wrapText="1"/>
    </xf>
    <xf numFmtId="0" fontId="17" fillId="18" borderId="106" xfId="0" applyFont="1" applyFill="1" applyBorder="1" applyAlignment="1">
      <alignment horizontal="center" vertical="center" wrapText="1"/>
    </xf>
    <xf numFmtId="49" fontId="17" fillId="18" borderId="106" xfId="0" applyNumberFormat="1" applyFont="1" applyFill="1" applyBorder="1" applyAlignment="1">
      <alignment horizontal="center" vertical="center" wrapText="1"/>
    </xf>
    <xf numFmtId="166" fontId="17" fillId="18" borderId="106" xfId="0" applyNumberFormat="1" applyFont="1" applyFill="1" applyBorder="1" applyAlignment="1">
      <alignment horizontal="center" vertical="center" wrapText="1"/>
    </xf>
    <xf numFmtId="49" fontId="17" fillId="18" borderId="106" xfId="0" applyNumberFormat="1" applyFont="1" applyFill="1" applyBorder="1" applyAlignment="1" applyProtection="1">
      <alignment horizontal="center" vertical="center" wrapText="1"/>
      <protection locked="0"/>
    </xf>
    <xf numFmtId="0" fontId="17" fillId="18" borderId="106" xfId="0" applyNumberFormat="1" applyFont="1" applyFill="1" applyBorder="1" applyAlignment="1">
      <alignment horizontal="center" vertical="center" wrapText="1"/>
    </xf>
    <xf numFmtId="0" fontId="17" fillId="18" borderId="106" xfId="18" applyNumberFormat="1" applyFont="1" applyFill="1" applyBorder="1" applyAlignment="1">
      <alignment horizontal="center" vertical="center" wrapText="1"/>
    </xf>
    <xf numFmtId="0" fontId="17" fillId="18" borderId="106" xfId="0" applyNumberFormat="1" applyFont="1" applyFill="1" applyBorder="1" applyAlignment="1">
      <alignment horizontal="center" vertical="center"/>
    </xf>
    <xf numFmtId="166" fontId="17" fillId="18" borderId="106" xfId="0" applyNumberFormat="1" applyFont="1" applyFill="1" applyBorder="1" applyAlignment="1">
      <alignment horizontal="center" vertical="center"/>
    </xf>
    <xf numFmtId="0" fontId="17" fillId="18" borderId="106" xfId="0" applyFont="1" applyFill="1" applyBorder="1" applyAlignment="1">
      <alignment horizontal="center" vertical="center"/>
    </xf>
    <xf numFmtId="0" fontId="17" fillId="18" borderId="106" xfId="16" applyNumberFormat="1" applyFont="1" applyFill="1" applyBorder="1" applyAlignment="1">
      <alignment horizontal="center" vertical="center" wrapText="1"/>
    </xf>
    <xf numFmtId="0" fontId="8" fillId="0" borderId="106" xfId="0" applyFont="1" applyBorder="1" applyAlignment="1">
      <alignment horizontal="center" vertical="center" wrapText="1"/>
    </xf>
    <xf numFmtId="49" fontId="28" fillId="0" borderId="106" xfId="0" applyNumberFormat="1" applyFont="1" applyFill="1" applyBorder="1" applyAlignment="1">
      <alignment horizontal="center" vertical="center" wrapText="1"/>
    </xf>
    <xf numFmtId="166" fontId="8" fillId="0" borderId="106" xfId="0" applyNumberFormat="1" applyFont="1" applyFill="1" applyBorder="1" applyAlignment="1" applyProtection="1">
      <alignment horizontal="center" vertical="center" wrapText="1"/>
      <protection locked="0"/>
    </xf>
    <xf numFmtId="0" fontId="28" fillId="0" borderId="106" xfId="0" applyFont="1" applyBorder="1" applyAlignment="1">
      <alignment horizontal="center" vertical="center" wrapText="1"/>
    </xf>
    <xf numFmtId="166" fontId="28" fillId="0" borderId="106" xfId="0" applyNumberFormat="1" applyFont="1" applyFill="1" applyBorder="1" applyAlignment="1">
      <alignment horizontal="center" vertical="center" wrapText="1"/>
    </xf>
    <xf numFmtId="0" fontId="28" fillId="0" borderId="106" xfId="0" applyFont="1" applyBorder="1" applyAlignment="1">
      <alignment horizontal="center" vertical="center"/>
    </xf>
    <xf numFmtId="3" fontId="8" fillId="0" borderId="106" xfId="0" applyNumberFormat="1" applyFont="1" applyFill="1" applyBorder="1" applyAlignment="1">
      <alignment horizontal="center" vertical="center" wrapText="1"/>
    </xf>
    <xf numFmtId="0" fontId="8" fillId="0" borderId="106" xfId="0" applyFont="1" applyBorder="1"/>
    <xf numFmtId="0" fontId="8" fillId="0" borderId="106" xfId="2" applyFont="1" applyFill="1" applyBorder="1" applyAlignment="1">
      <alignment horizontal="center" vertical="center" wrapText="1" shrinkToFit="1"/>
    </xf>
    <xf numFmtId="0" fontId="2" fillId="0" borderId="106" xfId="0" applyFont="1" applyFill="1" applyBorder="1" applyAlignment="1">
      <alignment horizontal="center" vertical="center" wrapText="1"/>
    </xf>
    <xf numFmtId="17" fontId="8" fillId="0" borderId="106" xfId="0" applyNumberFormat="1" applyFont="1" applyBorder="1" applyAlignment="1">
      <alignment horizontal="center" vertical="center"/>
    </xf>
    <xf numFmtId="0" fontId="8" fillId="18" borderId="106" xfId="0" applyNumberFormat="1" applyFont="1" applyFill="1" applyBorder="1" applyAlignment="1">
      <alignment horizontal="center" vertical="center" wrapText="1"/>
    </xf>
    <xf numFmtId="0" fontId="30" fillId="0" borderId="106" xfId="0" applyFont="1" applyBorder="1" applyAlignment="1">
      <alignment horizontal="center" vertical="center"/>
    </xf>
    <xf numFmtId="0" fontId="2" fillId="0" borderId="34" xfId="0" applyFont="1" applyBorder="1" applyAlignment="1">
      <alignment horizontal="center" vertical="center" wrapText="1"/>
    </xf>
    <xf numFmtId="0" fontId="0" fillId="0" borderId="0" xfId="0" applyAlignment="1">
      <alignment horizont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8" fillId="0" borderId="106" xfId="0" applyFont="1" applyFill="1" applyBorder="1" applyAlignment="1">
      <alignment horizontal="center" vertical="top" wrapText="1"/>
    </xf>
    <xf numFmtId="0" fontId="2" fillId="0" borderId="106" xfId="0" applyNumberFormat="1" applyFont="1" applyFill="1" applyBorder="1" applyAlignment="1">
      <alignment horizontal="center" vertical="center" wrapText="1"/>
    </xf>
    <xf numFmtId="0" fontId="8" fillId="0" borderId="106" xfId="0" applyNumberFormat="1" applyFont="1" applyFill="1" applyBorder="1" applyAlignment="1">
      <alignment horizontal="center" vertical="center" wrapText="1"/>
    </xf>
    <xf numFmtId="168" fontId="8" fillId="0" borderId="106" xfId="0" applyNumberFormat="1" applyFont="1" applyFill="1" applyBorder="1" applyAlignment="1">
      <alignment horizontal="center" vertical="center" wrapText="1"/>
    </xf>
    <xf numFmtId="4" fontId="8" fillId="0" borderId="106" xfId="0" applyNumberFormat="1" applyFont="1" applyFill="1" applyBorder="1" applyAlignment="1">
      <alignment horizontal="center" vertical="center" wrapText="1"/>
    </xf>
    <xf numFmtId="49" fontId="8" fillId="18" borderId="106" xfId="16" applyNumberFormat="1" applyFont="1" applyFill="1" applyBorder="1" applyAlignment="1">
      <alignment horizontal="center" vertical="center" wrapText="1"/>
    </xf>
    <xf numFmtId="0" fontId="8" fillId="18" borderId="106" xfId="0" applyNumberFormat="1" applyFont="1" applyFill="1" applyBorder="1" applyAlignment="1">
      <alignment horizontal="center" vertical="center"/>
    </xf>
    <xf numFmtId="0" fontId="8" fillId="18" borderId="106" xfId="18" applyNumberFormat="1" applyFont="1" applyFill="1" applyBorder="1" applyAlignment="1">
      <alignment horizontal="center" vertical="center" wrapText="1"/>
    </xf>
    <xf numFmtId="169" fontId="8" fillId="18" borderId="106" xfId="0" applyNumberFormat="1" applyFont="1" applyFill="1" applyBorder="1" applyAlignment="1">
      <alignment horizontal="center" vertical="center"/>
    </xf>
    <xf numFmtId="0" fontId="28" fillId="18" borderId="106" xfId="0" applyFont="1" applyFill="1" applyBorder="1" applyAlignment="1">
      <alignment horizontal="center" vertical="center" wrapText="1"/>
    </xf>
    <xf numFmtId="166" fontId="8" fillId="18" borderId="106" xfId="0" applyNumberFormat="1" applyFont="1" applyFill="1" applyBorder="1" applyAlignment="1">
      <alignment horizontal="center" vertical="center"/>
    </xf>
    <xf numFmtId="166" fontId="8" fillId="18" borderId="106" xfId="0" applyNumberFormat="1" applyFont="1" applyFill="1" applyBorder="1" applyAlignment="1">
      <alignment horizontal="center" vertical="center" wrapText="1"/>
    </xf>
    <xf numFmtId="0" fontId="28" fillId="18" borderId="106" xfId="0" applyFont="1" applyFill="1" applyBorder="1" applyAlignment="1">
      <alignment horizontal="center" vertical="center"/>
    </xf>
    <xf numFmtId="0" fontId="29" fillId="18" borderId="106" xfId="17" applyFont="1" applyFill="1" applyBorder="1" applyAlignment="1" applyProtection="1">
      <alignment horizontal="center" vertical="center" wrapText="1"/>
    </xf>
    <xf numFmtId="0" fontId="8" fillId="18" borderId="106" xfId="0" applyFont="1" applyFill="1" applyBorder="1" applyAlignment="1">
      <alignment horizontal="center" vertical="center"/>
    </xf>
    <xf numFmtId="49" fontId="28" fillId="18" borderId="106" xfId="16" applyNumberFormat="1" applyFont="1" applyFill="1" applyBorder="1" applyAlignment="1">
      <alignment horizontal="center" vertical="center" wrapText="1"/>
    </xf>
    <xf numFmtId="1" fontId="28" fillId="18" borderId="106" xfId="0" applyNumberFormat="1" applyFont="1" applyFill="1" applyBorder="1" applyAlignment="1">
      <alignment horizontal="center" vertical="center"/>
    </xf>
    <xf numFmtId="0" fontId="28" fillId="18" borderId="106" xfId="0" applyNumberFormat="1" applyFont="1" applyFill="1" applyBorder="1" applyAlignment="1">
      <alignment horizontal="center" vertical="center" wrapText="1"/>
    </xf>
    <xf numFmtId="0" fontId="28" fillId="18" borderId="106" xfId="18" applyNumberFormat="1" applyFont="1" applyFill="1" applyBorder="1" applyAlignment="1">
      <alignment horizontal="center" vertical="center" wrapText="1"/>
    </xf>
    <xf numFmtId="3" fontId="28" fillId="18" borderId="106" xfId="0" applyNumberFormat="1" applyFont="1" applyFill="1" applyBorder="1" applyAlignment="1">
      <alignment horizontal="center" vertical="center"/>
    </xf>
    <xf numFmtId="169" fontId="28" fillId="18" borderId="106" xfId="0" applyNumberFormat="1" applyFont="1" applyFill="1" applyBorder="1" applyAlignment="1">
      <alignment horizontal="center" vertical="center" wrapText="1"/>
    </xf>
    <xf numFmtId="4" fontId="28" fillId="18" borderId="106" xfId="0" applyNumberFormat="1" applyFont="1" applyFill="1" applyBorder="1" applyAlignment="1">
      <alignment horizontal="center" vertical="center" wrapText="1"/>
    </xf>
    <xf numFmtId="166" fontId="28" fillId="18" borderId="106" xfId="0" applyNumberFormat="1" applyFont="1" applyFill="1" applyBorder="1" applyAlignment="1">
      <alignment horizontal="center" vertical="center"/>
    </xf>
    <xf numFmtId="166" fontId="28" fillId="18" borderId="106" xfId="0" applyNumberFormat="1" applyFont="1" applyFill="1" applyBorder="1" applyAlignment="1">
      <alignment horizontal="center" vertical="center" wrapText="1"/>
    </xf>
    <xf numFmtId="0" fontId="17" fillId="18" borderId="106" xfId="17" applyFont="1" applyFill="1" applyBorder="1" applyAlignment="1">
      <alignment horizontal="center" vertical="center" wrapText="1"/>
    </xf>
    <xf numFmtId="49" fontId="28" fillId="18" borderId="106" xfId="0" applyNumberFormat="1" applyFont="1" applyFill="1" applyBorder="1" applyAlignment="1">
      <alignment horizontal="center" vertical="center" wrapText="1"/>
    </xf>
    <xf numFmtId="0" fontId="28" fillId="18" borderId="106" xfId="0" applyNumberFormat="1" applyFont="1" applyFill="1" applyBorder="1" applyAlignment="1">
      <alignment horizontal="center" vertical="center"/>
    </xf>
    <xf numFmtId="49" fontId="2" fillId="18" borderId="106" xfId="0" applyNumberFormat="1" applyFont="1" applyFill="1" applyBorder="1" applyAlignment="1">
      <alignment horizontal="center" vertical="center" wrapText="1"/>
    </xf>
    <xf numFmtId="0" fontId="2" fillId="18" borderId="106" xfId="0" applyFont="1" applyFill="1" applyBorder="1" applyAlignment="1">
      <alignment horizontal="center" vertical="center" wrapText="1"/>
    </xf>
    <xf numFmtId="169" fontId="2" fillId="18" borderId="106" xfId="0" applyNumberFormat="1" applyFont="1" applyFill="1" applyBorder="1" applyAlignment="1">
      <alignment horizontal="center" vertical="center" wrapText="1"/>
    </xf>
    <xf numFmtId="4" fontId="2" fillId="18" borderId="106" xfId="0" applyNumberFormat="1" applyFont="1" applyFill="1" applyBorder="1" applyAlignment="1">
      <alignment horizontal="center" vertical="center" wrapText="1"/>
    </xf>
    <xf numFmtId="49" fontId="8" fillId="18" borderId="106" xfId="0" applyNumberFormat="1" applyFont="1" applyFill="1" applyBorder="1" applyAlignment="1">
      <alignment horizontal="center" vertical="center"/>
    </xf>
    <xf numFmtId="169" fontId="28" fillId="18" borderId="106" xfId="0" applyNumberFormat="1" applyFont="1" applyFill="1" applyBorder="1" applyAlignment="1">
      <alignment horizontal="center" vertical="center"/>
    </xf>
    <xf numFmtId="4" fontId="17" fillId="18" borderId="106" xfId="0" applyNumberFormat="1" applyFont="1" applyFill="1" applyBorder="1" applyAlignment="1">
      <alignment horizontal="center" vertical="center" wrapText="1"/>
    </xf>
    <xf numFmtId="169" fontId="17" fillId="18" borderId="106" xfId="0" applyNumberFormat="1" applyFont="1" applyFill="1" applyBorder="1" applyAlignment="1">
      <alignment horizontal="center" vertical="center"/>
    </xf>
    <xf numFmtId="4" fontId="17" fillId="18" borderId="106" xfId="0" applyNumberFormat="1" applyFont="1" applyFill="1" applyBorder="1" applyAlignment="1">
      <alignment horizontal="center" vertical="center"/>
    </xf>
    <xf numFmtId="171" fontId="28" fillId="18" borderId="106" xfId="0" applyNumberFormat="1" applyFont="1" applyFill="1" applyBorder="1" applyAlignment="1">
      <alignment horizontal="center" vertical="center"/>
    </xf>
    <xf numFmtId="0" fontId="2" fillId="18" borderId="106" xfId="0" applyFont="1" applyFill="1" applyBorder="1" applyAlignment="1">
      <alignment horizontal="center" vertical="top" wrapText="1"/>
    </xf>
    <xf numFmtId="3" fontId="2" fillId="18" borderId="106" xfId="0" applyNumberFormat="1" applyFont="1" applyFill="1" applyBorder="1" applyAlignment="1">
      <alignment horizontal="center" vertical="center" wrapText="1"/>
    </xf>
    <xf numFmtId="170" fontId="2" fillId="18" borderId="106" xfId="0" applyNumberFormat="1" applyFont="1" applyFill="1" applyBorder="1" applyAlignment="1">
      <alignment horizontal="center" vertical="center" wrapText="1"/>
    </xf>
    <xf numFmtId="166" fontId="2" fillId="18" borderId="106" xfId="0" applyNumberFormat="1" applyFont="1" applyFill="1" applyBorder="1" applyAlignment="1">
      <alignment horizontal="center" vertical="center" wrapText="1"/>
    </xf>
    <xf numFmtId="0" fontId="8" fillId="0" borderId="106" xfId="0" applyFont="1" applyBorder="1" applyAlignment="1">
      <alignment horizontal="center"/>
    </xf>
    <xf numFmtId="0" fontId="29" fillId="0" borderId="106" xfId="17" applyFont="1" applyFill="1" applyBorder="1" applyAlignment="1" applyProtection="1">
      <alignment horizontal="center" vertical="center" wrapText="1"/>
    </xf>
    <xf numFmtId="0" fontId="17" fillId="0" borderId="106" xfId="16" applyNumberFormat="1" applyFont="1" applyFill="1" applyBorder="1" applyAlignment="1">
      <alignment horizontal="center" vertical="center" wrapText="1"/>
    </xf>
    <xf numFmtId="0" fontId="17" fillId="0" borderId="106" xfId="0" applyFont="1" applyFill="1" applyBorder="1" applyAlignment="1">
      <alignment horizontal="center" vertical="center"/>
    </xf>
    <xf numFmtId="4" fontId="0" fillId="0" borderId="0" xfId="0" applyNumberFormat="1" applyAlignment="1">
      <alignment horizontal="center"/>
    </xf>
    <xf numFmtId="0" fontId="4" fillId="0" borderId="11" xfId="0" applyNumberFormat="1" applyFont="1" applyFill="1" applyBorder="1" applyAlignment="1">
      <alignment horizontal="center" vertical="center" wrapText="1"/>
    </xf>
    <xf numFmtId="0" fontId="27" fillId="0" borderId="106" xfId="0" applyFont="1" applyFill="1" applyBorder="1" applyAlignment="1">
      <alignment horizontal="center" vertical="center" wrapText="1"/>
    </xf>
    <xf numFmtId="0" fontId="8" fillId="0" borderId="106" xfId="0" applyFont="1" applyFill="1" applyBorder="1"/>
    <xf numFmtId="4" fontId="4" fillId="0" borderId="11" xfId="0" applyNumberFormat="1" applyFont="1" applyFill="1" applyBorder="1" applyAlignment="1">
      <alignment horizontal="center" vertical="center" wrapText="1"/>
    </xf>
    <xf numFmtId="4" fontId="8" fillId="0" borderId="106" xfId="0" applyNumberFormat="1" applyFont="1" applyFill="1" applyBorder="1" applyAlignment="1">
      <alignment horizontal="center" vertical="center"/>
    </xf>
    <xf numFmtId="4" fontId="28" fillId="0" borderId="106" xfId="0" applyNumberFormat="1" applyFont="1" applyFill="1" applyBorder="1" applyAlignment="1">
      <alignment horizontal="center" vertical="center" wrapText="1"/>
    </xf>
    <xf numFmtId="4" fontId="17" fillId="0" borderId="106"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28" fillId="17" borderId="106" xfId="0" applyFont="1" applyFill="1" applyBorder="1" applyAlignment="1">
      <alignment horizontal="center" vertical="center" wrapText="1"/>
    </xf>
    <xf numFmtId="0" fontId="0" fillId="0" borderId="106" xfId="0" applyBorder="1" applyAlignment="1">
      <alignment horizontal="center"/>
    </xf>
    <xf numFmtId="0" fontId="0" fillId="0" borderId="106" xfId="0" applyBorder="1" applyAlignment="1">
      <alignment horizontal="center" vertical="center" wrapText="1"/>
    </xf>
    <xf numFmtId="4" fontId="0" fillId="0" borderId="106" xfId="0" applyNumberFormat="1" applyBorder="1" applyAlignment="1">
      <alignment horizontal="center" vertical="center"/>
    </xf>
    <xf numFmtId="0" fontId="0" fillId="0" borderId="106" xfId="0" applyBorder="1" applyAlignment="1">
      <alignment horizontal="center" vertical="center"/>
    </xf>
    <xf numFmtId="169" fontId="8" fillId="0" borderId="106" xfId="0" applyNumberFormat="1" applyFont="1" applyBorder="1" applyAlignment="1">
      <alignment horizontal="center" vertical="center" wrapText="1"/>
    </xf>
    <xf numFmtId="169" fontId="28" fillId="0" borderId="106" xfId="0" applyNumberFormat="1" applyFont="1" applyBorder="1" applyAlignment="1">
      <alignment horizontal="center" vertical="center" wrapText="1"/>
    </xf>
    <xf numFmtId="169" fontId="17" fillId="18" borderId="106" xfId="0" applyNumberFormat="1" applyFont="1" applyFill="1" applyBorder="1" applyAlignment="1">
      <alignment horizontal="center" vertical="center" wrapText="1"/>
    </xf>
    <xf numFmtId="4" fontId="8" fillId="18" borderId="106" xfId="0" applyNumberFormat="1" applyFont="1" applyFill="1" applyBorder="1" applyAlignment="1">
      <alignment horizontal="center" vertical="center"/>
    </xf>
    <xf numFmtId="4" fontId="8" fillId="2" borderId="106" xfId="0" applyNumberFormat="1" applyFont="1" applyFill="1" applyBorder="1" applyAlignment="1">
      <alignment horizontal="center" vertical="center" wrapText="1"/>
    </xf>
    <xf numFmtId="4" fontId="28" fillId="17" borderId="106" xfId="0" applyNumberFormat="1" applyFont="1" applyFill="1" applyBorder="1" applyAlignment="1">
      <alignment horizontal="center" vertical="center" wrapText="1"/>
    </xf>
    <xf numFmtId="0" fontId="8" fillId="0" borderId="106" xfId="0" applyFont="1" applyBorder="1" applyAlignment="1">
      <alignment horizontal="center" wrapText="1"/>
    </xf>
    <xf numFmtId="0" fontId="0" fillId="0" borderId="106" xfId="0" applyBorder="1" applyAlignment="1">
      <alignment vertical="center" wrapText="1"/>
    </xf>
    <xf numFmtId="0" fontId="0" fillId="0" borderId="0" xfId="0" applyAlignment="1">
      <alignment horizontal="center" vertical="center" wrapText="1"/>
    </xf>
    <xf numFmtId="169" fontId="2" fillId="0" borderId="106" xfId="0" applyNumberFormat="1" applyFont="1" applyFill="1" applyBorder="1" applyAlignment="1">
      <alignment horizontal="center" vertical="center" wrapText="1"/>
    </xf>
    <xf numFmtId="0" fontId="2" fillId="0" borderId="85" xfId="0" applyNumberFormat="1" applyFont="1" applyFill="1" applyBorder="1" applyAlignment="1">
      <alignment horizontal="center" vertical="center" wrapText="1"/>
    </xf>
    <xf numFmtId="0" fontId="28" fillId="0" borderId="107" xfId="0" applyFont="1" applyFill="1" applyBorder="1" applyAlignment="1">
      <alignment horizontal="center" vertical="center" wrapText="1"/>
    </xf>
    <xf numFmtId="0" fontId="28" fillId="17" borderId="108" xfId="0" applyFont="1" applyFill="1" applyBorder="1" applyAlignment="1">
      <alignment horizontal="center" vertical="center" wrapText="1"/>
    </xf>
    <xf numFmtId="0" fontId="29" fillId="18" borderId="85" xfId="17" applyFont="1" applyFill="1" applyBorder="1" applyAlignment="1" applyProtection="1">
      <alignment horizontal="center" vertical="center" wrapText="1"/>
    </xf>
    <xf numFmtId="168" fontId="17" fillId="0" borderId="106" xfId="0" applyNumberFormat="1" applyFont="1" applyFill="1" applyBorder="1" applyAlignment="1">
      <alignment horizontal="center" vertical="center" wrapText="1"/>
    </xf>
    <xf numFmtId="0" fontId="2" fillId="0" borderId="95" xfId="0" applyNumberFormat="1" applyFont="1" applyFill="1" applyBorder="1" applyAlignment="1">
      <alignment horizontal="center" vertical="center" wrapText="1"/>
    </xf>
    <xf numFmtId="0" fontId="2" fillId="0" borderId="93" xfId="0" applyNumberFormat="1" applyFont="1" applyFill="1" applyBorder="1" applyAlignment="1">
      <alignment horizontal="center" vertical="center" wrapText="1"/>
    </xf>
    <xf numFmtId="49" fontId="17" fillId="18" borderId="85" xfId="16" applyNumberFormat="1" applyFont="1" applyFill="1" applyBorder="1" applyAlignment="1">
      <alignment horizontal="center" vertical="center" wrapText="1"/>
    </xf>
    <xf numFmtId="0" fontId="17" fillId="18" borderId="85" xfId="0" applyFont="1" applyFill="1" applyBorder="1" applyAlignment="1">
      <alignment horizontal="center" vertical="center" wrapText="1"/>
    </xf>
    <xf numFmtId="49" fontId="17" fillId="18" borderId="85" xfId="0" applyNumberFormat="1" applyFont="1" applyFill="1" applyBorder="1" applyAlignment="1">
      <alignment horizontal="center" vertical="center" wrapText="1"/>
    </xf>
    <xf numFmtId="169" fontId="17" fillId="18" borderId="85" xfId="0" applyNumberFormat="1" applyFont="1" applyFill="1" applyBorder="1" applyAlignment="1">
      <alignment horizontal="center" vertical="center" wrapText="1"/>
    </xf>
    <xf numFmtId="4" fontId="17" fillId="18" borderId="85" xfId="0" applyNumberFormat="1" applyFont="1" applyFill="1" applyBorder="1" applyAlignment="1">
      <alignment horizontal="center" vertical="center" wrapText="1"/>
    </xf>
    <xf numFmtId="166" fontId="17" fillId="18" borderId="85" xfId="0" applyNumberFormat="1" applyFont="1" applyFill="1" applyBorder="1" applyAlignment="1">
      <alignment horizontal="center" vertical="center" wrapText="1"/>
    </xf>
    <xf numFmtId="0" fontId="17" fillId="18" borderId="85" xfId="0" applyFont="1" applyFill="1" applyBorder="1" applyAlignment="1">
      <alignment horizontal="center" vertical="center"/>
    </xf>
    <xf numFmtId="0" fontId="8" fillId="0" borderId="44" xfId="0" applyFont="1" applyFill="1" applyBorder="1" applyAlignment="1">
      <alignment horizontal="center" vertical="center" wrapText="1"/>
    </xf>
    <xf numFmtId="0" fontId="28" fillId="0" borderId="44" xfId="0" applyFont="1" applyFill="1" applyBorder="1" applyAlignment="1">
      <alignment horizontal="center" vertical="center" wrapText="1"/>
    </xf>
    <xf numFmtId="169" fontId="17" fillId="0" borderId="44" xfId="0" applyNumberFormat="1" applyFont="1" applyFill="1" applyBorder="1" applyAlignment="1">
      <alignment horizontal="center" vertical="center" wrapText="1"/>
    </xf>
    <xf numFmtId="4" fontId="28" fillId="17" borderId="44" xfId="0" applyNumberFormat="1" applyFont="1" applyFill="1" applyBorder="1" applyAlignment="1">
      <alignment horizontal="center" vertical="center" wrapText="1"/>
    </xf>
    <xf numFmtId="0" fontId="28" fillId="17" borderId="44" xfId="0" applyFont="1" applyFill="1" applyBorder="1" applyAlignment="1">
      <alignment horizontal="center" vertical="center" wrapText="1"/>
    </xf>
    <xf numFmtId="166" fontId="28" fillId="0" borderId="0" xfId="0" applyNumberFormat="1" applyFont="1" applyFill="1" applyBorder="1" applyAlignment="1">
      <alignment horizontal="center" vertical="center" wrapText="1"/>
    </xf>
    <xf numFmtId="166" fontId="28" fillId="0" borderId="107" xfId="0" applyNumberFormat="1" applyFont="1" applyFill="1" applyBorder="1" applyAlignment="1">
      <alignment horizontal="center" vertical="center" wrapText="1"/>
    </xf>
    <xf numFmtId="0" fontId="29" fillId="18" borderId="44" xfId="17" applyFont="1" applyFill="1" applyBorder="1" applyAlignment="1" applyProtection="1">
      <alignment horizontal="center" vertical="center" wrapText="1"/>
    </xf>
    <xf numFmtId="0" fontId="28" fillId="17" borderId="107" xfId="0" applyFont="1" applyFill="1" applyBorder="1" applyAlignment="1">
      <alignment horizontal="center" vertical="center" wrapText="1"/>
    </xf>
    <xf numFmtId="0" fontId="28" fillId="17" borderId="0" xfId="0" applyFont="1" applyFill="1" applyBorder="1" applyAlignment="1">
      <alignment horizontal="center" vertical="center" wrapText="1"/>
    </xf>
    <xf numFmtId="0" fontId="28" fillId="17" borderId="109"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31" fillId="0" borderId="106" xfId="0" applyFont="1" applyFill="1" applyBorder="1" applyAlignment="1">
      <alignment horizontal="center" vertical="center" wrapText="1"/>
    </xf>
    <xf numFmtId="49" fontId="31" fillId="0" borderId="106" xfId="0" applyNumberFormat="1" applyFont="1" applyFill="1" applyBorder="1" applyAlignment="1">
      <alignment horizontal="center" vertical="center" wrapText="1"/>
    </xf>
    <xf numFmtId="0" fontId="0" fillId="0" borderId="0" xfId="0" applyAlignment="1">
      <alignment horizontal="center" wrapText="1"/>
    </xf>
    <xf numFmtId="169" fontId="8" fillId="0" borderId="106" xfId="0" applyNumberFormat="1" applyFont="1" applyBorder="1" applyAlignment="1">
      <alignment horizontal="center" vertical="center"/>
    </xf>
    <xf numFmtId="4" fontId="8" fillId="0" borderId="106" xfId="0" applyNumberFormat="1" applyFont="1" applyBorder="1" applyAlignment="1">
      <alignment horizontal="center" vertical="center"/>
    </xf>
    <xf numFmtId="166" fontId="8" fillId="0" borderId="106" xfId="0" applyNumberFormat="1" applyFont="1" applyBorder="1" applyAlignment="1">
      <alignment horizontal="center" vertical="center"/>
    </xf>
    <xf numFmtId="14" fontId="8" fillId="0" borderId="106" xfId="0" applyNumberFormat="1" applyFont="1" applyBorder="1" applyAlignment="1">
      <alignment horizontal="center" vertical="center"/>
    </xf>
    <xf numFmtId="0" fontId="8" fillId="2" borderId="35" xfId="0" applyNumberFormat="1" applyFont="1" applyFill="1" applyBorder="1" applyAlignment="1">
      <alignment horizontal="center" vertical="center"/>
    </xf>
    <xf numFmtId="0" fontId="2" fillId="3" borderId="35" xfId="0" applyNumberFormat="1" applyFont="1" applyFill="1" applyBorder="1" applyAlignment="1">
      <alignment horizontal="center" vertical="center" wrapText="1"/>
    </xf>
    <xf numFmtId="10" fontId="2" fillId="2" borderId="35" xfId="1" applyNumberFormat="1" applyFont="1" applyFill="1" applyBorder="1" applyAlignment="1">
      <alignment horizontal="center" vertical="center" wrapText="1"/>
    </xf>
    <xf numFmtId="168" fontId="2" fillId="0" borderId="35" xfId="0" applyNumberFormat="1" applyFont="1" applyFill="1" applyBorder="1" applyAlignment="1">
      <alignment horizontal="center" vertical="center"/>
    </xf>
    <xf numFmtId="0" fontId="32" fillId="0" borderId="0" xfId="0" applyFont="1"/>
    <xf numFmtId="0" fontId="0" fillId="0" borderId="0" xfId="0" applyBorder="1" applyAlignment="1">
      <alignment horizontal="center"/>
    </xf>
    <xf numFmtId="169" fontId="8" fillId="0" borderId="0" xfId="0" applyNumberFormat="1" applyFont="1" applyBorder="1" applyAlignment="1">
      <alignment horizontal="center" vertical="center"/>
    </xf>
    <xf numFmtId="4" fontId="0" fillId="0" borderId="0" xfId="0" applyNumberFormat="1" applyBorder="1" applyAlignment="1">
      <alignment horizontal="center"/>
    </xf>
    <xf numFmtId="0" fontId="2" fillId="0" borderId="0" xfId="0" applyNumberFormat="1" applyFont="1" applyFill="1" applyBorder="1" applyAlignment="1">
      <alignment horizontal="center"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25" fillId="0" borderId="19" xfId="17"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 fontId="2" fillId="0" borderId="6"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7" borderId="45" xfId="0" applyFont="1" applyFill="1" applyBorder="1" applyAlignment="1">
      <alignment horizontal="center" vertical="center" wrapText="1"/>
    </xf>
    <xf numFmtId="0" fontId="7" fillId="7" borderId="40" xfId="0" applyFont="1" applyFill="1" applyBorder="1" applyAlignment="1">
      <alignment horizontal="center" vertical="center" wrapText="1"/>
    </xf>
    <xf numFmtId="0" fontId="7" fillId="2" borderId="66" xfId="0" applyNumberFormat="1" applyFont="1" applyFill="1" applyBorder="1" applyAlignment="1">
      <alignment horizontal="center" vertical="center" wrapText="1"/>
    </xf>
    <xf numFmtId="0" fontId="7" fillId="2" borderId="90"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49" fontId="7" fillId="2" borderId="43" xfId="0" applyNumberFormat="1" applyFont="1" applyFill="1" applyBorder="1" applyAlignment="1">
      <alignment horizontal="center" vertical="center" wrapText="1"/>
    </xf>
    <xf numFmtId="0" fontId="7" fillId="10" borderId="70" xfId="0" applyFont="1" applyFill="1" applyBorder="1" applyAlignment="1">
      <alignment horizontal="center" vertical="center" wrapText="1"/>
    </xf>
    <xf numFmtId="0" fontId="7" fillId="10" borderId="89" xfId="0" applyFont="1" applyFill="1" applyBorder="1" applyAlignment="1">
      <alignment horizontal="center" vertical="center" wrapText="1"/>
    </xf>
    <xf numFmtId="0" fontId="7" fillId="10" borderId="87"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7" fillId="10" borderId="32" xfId="0" applyFont="1" applyFill="1" applyBorder="1" applyAlignment="1">
      <alignment horizontal="center" vertical="center" wrapText="1"/>
    </xf>
    <xf numFmtId="0" fontId="7" fillId="10" borderId="88" xfId="0" applyFont="1" applyFill="1" applyBorder="1" applyAlignment="1">
      <alignment horizontal="center" vertical="center" wrapText="1"/>
    </xf>
    <xf numFmtId="0" fontId="7" fillId="3" borderId="70" xfId="0" applyFont="1" applyFill="1" applyBorder="1" applyAlignment="1">
      <alignment horizontal="center" vertical="center" wrapText="1"/>
    </xf>
    <xf numFmtId="0" fontId="7" fillId="3" borderId="89" xfId="0" applyFont="1" applyFill="1" applyBorder="1" applyAlignment="1">
      <alignment horizontal="center" vertical="center" wrapText="1"/>
    </xf>
    <xf numFmtId="0" fontId="7" fillId="3" borderId="87" xfId="0" applyFont="1" applyFill="1" applyBorder="1" applyAlignment="1">
      <alignment horizontal="center" vertical="center" wrapText="1"/>
    </xf>
    <xf numFmtId="0" fontId="7" fillId="3" borderId="86"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7" fillId="9" borderId="70" xfId="0" applyFont="1" applyFill="1" applyBorder="1" applyAlignment="1">
      <alignment horizontal="center" vertical="center" wrapText="1"/>
    </xf>
    <xf numFmtId="0" fontId="7" fillId="9" borderId="89" xfId="0" applyFont="1" applyFill="1" applyBorder="1" applyAlignment="1">
      <alignment horizontal="center" vertical="center" wrapText="1"/>
    </xf>
    <xf numFmtId="0" fontId="7" fillId="9" borderId="87" xfId="0" applyFont="1" applyFill="1" applyBorder="1" applyAlignment="1">
      <alignment horizontal="center" vertical="center" wrapText="1"/>
    </xf>
    <xf numFmtId="0" fontId="7" fillId="9" borderId="86"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9" borderId="88" xfId="0" applyFont="1" applyFill="1" applyBorder="1" applyAlignment="1">
      <alignment horizontal="center" vertical="center" wrapText="1"/>
    </xf>
    <xf numFmtId="0" fontId="7" fillId="11" borderId="70" xfId="0" applyFont="1" applyFill="1" applyBorder="1" applyAlignment="1">
      <alignment horizontal="center" vertical="center" wrapText="1"/>
    </xf>
    <xf numFmtId="0" fontId="7" fillId="11" borderId="89" xfId="0" applyFont="1" applyFill="1" applyBorder="1" applyAlignment="1">
      <alignment horizontal="center" vertical="center" wrapText="1"/>
    </xf>
    <xf numFmtId="0" fontId="7" fillId="11" borderId="87" xfId="0" applyFont="1" applyFill="1" applyBorder="1" applyAlignment="1">
      <alignment horizontal="center" vertical="center" wrapText="1"/>
    </xf>
    <xf numFmtId="0" fontId="7" fillId="11" borderId="86" xfId="0" applyFont="1" applyFill="1" applyBorder="1" applyAlignment="1">
      <alignment horizontal="center" vertical="center" wrapText="1"/>
    </xf>
    <xf numFmtId="0" fontId="7" fillId="11" borderId="32" xfId="0" applyFont="1" applyFill="1" applyBorder="1" applyAlignment="1">
      <alignment horizontal="center" vertical="center" wrapText="1"/>
    </xf>
    <xf numFmtId="0" fontId="7" fillId="11" borderId="88"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0" fillId="16" borderId="103" xfId="0" applyFont="1" applyFill="1" applyBorder="1" applyAlignment="1">
      <alignment horizontal="center" vertical="center" textRotation="90" wrapText="1"/>
    </xf>
    <xf numFmtId="0" fontId="20" fillId="16" borderId="104"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9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49" fontId="2" fillId="7" borderId="19" xfId="0" applyNumberFormat="1" applyFont="1" applyFill="1" applyBorder="1" applyAlignment="1">
      <alignment horizontal="center"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0" fontId="7" fillId="8" borderId="28"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0" xfId="0" applyFont="1" applyBorder="1" applyAlignment="1">
      <alignment horizontal="center" vertical="center" wrapText="1"/>
    </xf>
    <xf numFmtId="0" fontId="7" fillId="2" borderId="33"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8" borderId="90" xfId="0" applyFont="1" applyFill="1" applyBorder="1" applyAlignment="1">
      <alignment horizontal="center" vertical="center"/>
    </xf>
    <xf numFmtId="0" fontId="7" fillId="8" borderId="66" xfId="0" applyFont="1" applyFill="1" applyBorder="1" applyAlignment="1">
      <alignment horizontal="center" vertical="center" textRotation="90"/>
    </xf>
    <xf numFmtId="0" fontId="7" fillId="8" borderId="67" xfId="0" applyFont="1" applyFill="1" applyBorder="1" applyAlignment="1">
      <alignment horizontal="center" vertical="center" textRotation="90"/>
    </xf>
    <xf numFmtId="0" fontId="7" fillId="8" borderId="29" xfId="0" applyFont="1" applyFill="1" applyBorder="1" applyAlignment="1">
      <alignment horizontal="center" vertical="center" textRotation="90"/>
    </xf>
    <xf numFmtId="0" fontId="7" fillId="10" borderId="45" xfId="0" applyFont="1" applyFill="1" applyBorder="1" applyAlignment="1">
      <alignment horizontal="center" vertical="center" wrapText="1"/>
    </xf>
    <xf numFmtId="0" fontId="7" fillId="10" borderId="33" xfId="0" applyFont="1" applyFill="1" applyBorder="1" applyAlignment="1">
      <alignment horizontal="center" vertical="center" wrapText="1"/>
    </xf>
    <xf numFmtId="0" fontId="7" fillId="10" borderId="40" xfId="0" applyFont="1" applyFill="1" applyBorder="1" applyAlignment="1">
      <alignment horizontal="center" vertical="center" wrapText="1"/>
    </xf>
    <xf numFmtId="0" fontId="7" fillId="8" borderId="43" xfId="0" applyFont="1" applyFill="1" applyBorder="1" applyAlignment="1">
      <alignment horizontal="center" vertical="center"/>
    </xf>
    <xf numFmtId="0" fontId="7" fillId="8" borderId="43"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8" borderId="39" xfId="0" applyFont="1" applyFill="1" applyBorder="1" applyAlignment="1">
      <alignment horizontal="center" vertical="center"/>
    </xf>
    <xf numFmtId="0" fontId="7" fillId="8" borderId="16" xfId="0" applyFont="1" applyFill="1" applyBorder="1" applyAlignment="1">
      <alignment horizontal="center" vertical="center"/>
    </xf>
    <xf numFmtId="0" fontId="7" fillId="8" borderId="28" xfId="0" applyFont="1" applyFill="1" applyBorder="1" applyAlignment="1">
      <alignment horizontal="center" vertical="center"/>
    </xf>
    <xf numFmtId="0" fontId="7" fillId="8" borderId="33" xfId="0" applyFont="1" applyFill="1" applyBorder="1" applyAlignment="1">
      <alignment horizontal="center" vertical="center"/>
    </xf>
    <xf numFmtId="0" fontId="7" fillId="3" borderId="4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6" fillId="0" borderId="45" xfId="0" applyFont="1" applyBorder="1" applyAlignment="1">
      <alignment horizontal="center" wrapText="1"/>
    </xf>
    <xf numFmtId="0" fontId="6" fillId="0" borderId="33" xfId="0" applyFont="1" applyBorder="1" applyAlignment="1">
      <alignment horizontal="center" wrapText="1"/>
    </xf>
    <xf numFmtId="0" fontId="6" fillId="0" borderId="40" xfId="0" applyFont="1" applyBorder="1" applyAlignment="1">
      <alignment horizontal="center" wrapText="1"/>
    </xf>
    <xf numFmtId="0" fontId="7" fillId="11" borderId="45" xfId="0" applyFont="1" applyFill="1" applyBorder="1" applyAlignment="1">
      <alignment horizontal="center" vertical="center" wrapText="1"/>
    </xf>
    <xf numFmtId="0" fontId="7" fillId="11" borderId="33" xfId="0" applyFont="1" applyFill="1" applyBorder="1" applyAlignment="1">
      <alignment horizontal="center" vertical="center" wrapText="1"/>
    </xf>
    <xf numFmtId="0" fontId="7" fillId="11" borderId="40" xfId="0" applyFont="1" applyFill="1" applyBorder="1" applyAlignment="1">
      <alignment horizontal="center" vertical="center" wrapText="1"/>
    </xf>
    <xf numFmtId="0" fontId="7" fillId="9" borderId="45" xfId="0" applyFont="1" applyFill="1" applyBorder="1" applyAlignment="1">
      <alignment horizontal="center" vertical="center" wrapText="1"/>
    </xf>
    <xf numFmtId="0" fontId="7" fillId="9" borderId="33"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7" fillId="0" borderId="4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0" xfId="0" applyFont="1" applyBorder="1" applyAlignment="1">
      <alignment horizontal="center" vertical="center" wrapText="1"/>
    </xf>
    <xf numFmtId="0" fontId="0" fillId="0" borderId="33" xfId="0" applyBorder="1" applyAlignment="1"/>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7" fillId="7" borderId="33"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Fill="1" applyBorder="1" applyAlignment="1">
      <alignment horizontal="left" wrapText="1"/>
    </xf>
    <xf numFmtId="0" fontId="32" fillId="0" borderId="106" xfId="0" applyFont="1" applyFill="1" applyBorder="1" applyAlignment="1">
      <alignment horizontal="center" vertical="center"/>
    </xf>
    <xf numFmtId="0" fontId="32" fillId="0" borderId="106" xfId="0" applyFont="1" applyFill="1" applyBorder="1" applyAlignment="1">
      <alignment horizontal="center" wrapText="1"/>
    </xf>
    <xf numFmtId="169" fontId="8" fillId="0" borderId="106" xfId="0" applyNumberFormat="1" applyFont="1" applyFill="1" applyBorder="1" applyAlignment="1">
      <alignment horizontal="center" vertical="center"/>
    </xf>
    <xf numFmtId="4" fontId="32" fillId="0" borderId="106" xfId="0" applyNumberFormat="1" applyFont="1" applyFill="1" applyBorder="1" applyAlignment="1">
      <alignment horizontal="center" vertical="center"/>
    </xf>
    <xf numFmtId="0" fontId="32" fillId="0" borderId="106" xfId="0" applyFont="1" applyFill="1" applyBorder="1" applyAlignment="1">
      <alignment horizontal="center" vertical="center" wrapText="1"/>
    </xf>
    <xf numFmtId="166" fontId="32" fillId="0" borderId="106" xfId="0" applyNumberFormat="1" applyFont="1" applyFill="1" applyBorder="1" applyAlignment="1">
      <alignment horizontal="center" vertical="center"/>
    </xf>
    <xf numFmtId="49" fontId="17" fillId="0" borderId="85" xfId="0" applyNumberFormat="1" applyFont="1" applyFill="1" applyBorder="1" applyAlignment="1">
      <alignment horizontal="center" vertical="center" wrapText="1"/>
    </xf>
    <xf numFmtId="169" fontId="8" fillId="0" borderId="85" xfId="0" applyNumberFormat="1" applyFont="1" applyFill="1" applyBorder="1" applyAlignment="1">
      <alignment horizontal="center" vertical="center"/>
    </xf>
    <xf numFmtId="4" fontId="8" fillId="0" borderId="85" xfId="0" applyNumberFormat="1" applyFont="1" applyFill="1" applyBorder="1" applyAlignment="1">
      <alignment horizontal="center" vertical="center" wrapText="1"/>
    </xf>
    <xf numFmtId="49" fontId="8" fillId="0" borderId="106" xfId="0" applyNumberFormat="1" applyFont="1" applyFill="1" applyBorder="1" applyAlignment="1">
      <alignment horizontal="center" vertical="center" wrapText="1"/>
    </xf>
    <xf numFmtId="166" fontId="0" fillId="0" borderId="106" xfId="0" applyNumberFormat="1" applyFill="1" applyBorder="1" applyAlignment="1">
      <alignment horizontal="center" vertical="center"/>
    </xf>
    <xf numFmtId="0" fontId="0" fillId="0" borderId="106" xfId="0" applyFill="1" applyBorder="1" applyAlignment="1">
      <alignment horizontal="center" vertical="center"/>
    </xf>
  </cellXfs>
  <cellStyles count="19">
    <cellStyle name="Excel Built-in Normal" xfId="9"/>
    <cellStyle name="TableStyleLight1" xfId="10"/>
    <cellStyle name="Гиперссылка" xfId="17" builtinId="8"/>
    <cellStyle name="Гиперссылка 2" xfId="3"/>
    <cellStyle name="Обычный" xfId="0" builtinId="0"/>
    <cellStyle name="Обычный 10 10" xfId="13"/>
    <cellStyle name="Обычный 2" xfId="6"/>
    <cellStyle name="Обычный 2 2" xfId="12"/>
    <cellStyle name="Обычный 2 3" xfId="14"/>
    <cellStyle name="Обычный 3" xfId="2"/>
    <cellStyle name="Обычный 3 2" xfId="8"/>
    <cellStyle name="Обычный 3 3" xfId="15"/>
    <cellStyle name="Обычный_Книга2" xfId="16"/>
    <cellStyle name="Обычный_Лист1" xfId="18"/>
    <cellStyle name="Процентный" xfId="1" builtinId="5"/>
    <cellStyle name="Процентный 2" xfId="7"/>
    <cellStyle name="Стиль 1" xfId="11"/>
    <cellStyle name="Финансовый 2" xfId="5"/>
    <cellStyle name="Финансовый 3" xfId="4"/>
  </cellStyles>
  <dxfs count="62">
    <dxf>
      <font>
        <color rgb="FFFFFFFF"/>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theme="1" tint="0.499984740745262"/>
        <name val="Arial"/>
        <scheme val="none"/>
      </font>
      <numFmt numFmtId="1" formatCode="0"/>
      <fill>
        <patternFill patternType="solid">
          <fgColor indexed="64"/>
          <bgColor theme="1" tint="0.499984740745262"/>
        </patternFill>
      </fill>
      <alignment horizontal="center" vertical="center" textRotation="0" wrapText="1"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0"/>
        <color rgb="FF000000"/>
        <name val="Arial"/>
        <scheme val="none"/>
      </font>
      <numFmt numFmtId="165" formatCode="#,##0.00_р_."/>
      <fill>
        <patternFill patternType="none">
          <fgColor indexed="64"/>
          <bgColor indexed="65"/>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scheme val="minor"/>
      </font>
      <numFmt numFmtId="165" formatCode="#,##0.00_р_."/>
      <fill>
        <patternFill patternType="none">
          <fgColor indexed="64"/>
          <bgColor indexed="65"/>
        </patternFill>
      </fill>
      <alignment horizontal="center" vertical="center" textRotation="0" wrapText="0"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68" formatCode="#\ ###\ ###\ ###\ ##0.00_р_."/>
      <fill>
        <patternFill patternType="none">
          <fgColor indexed="64"/>
          <bgColor indexed="65"/>
        </patternFill>
      </fill>
      <alignment horizontal="center" vertical="center" textRotation="0" wrapText="0"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68" formatCode="#\ ###\ ###\ ###\ ##0.00_р_."/>
      <fill>
        <patternFill patternType="none">
          <fgColor indexed="64"/>
          <bgColor indexed="65"/>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68" formatCode="#\ ###\ ###\ ###\ ##0.00_р_."/>
      <fill>
        <patternFill patternType="none">
          <fgColor indexed="64"/>
          <bgColor indexed="65"/>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4" formatCode="0.00%"/>
      <fill>
        <patternFill patternType="solid">
          <fgColor indexed="64"/>
          <bgColor theme="0" tint="-9.9978637043366805E-2"/>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68" formatCode="#\ ###\ ###\ ###\ ##0.00_р_."/>
      <fill>
        <patternFill patternType="solid">
          <fgColor indexed="64"/>
          <bgColor theme="0" tint="-9.9978637043366805E-2"/>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68" formatCode="#\ ###\ ###\ ###\ ##0.00_р_."/>
      <fill>
        <patternFill patternType="none">
          <fgColor indexed="64"/>
          <bgColor indexed="65"/>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65" formatCode="#,##0.00_р_."/>
      <fill>
        <patternFill patternType="none">
          <fgColor indexed="64"/>
          <bgColor indexed="65"/>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68" formatCode="#\ ###\ ###\ ###\ ##0.00_р_."/>
      <fill>
        <patternFill patternType="none">
          <fgColor indexed="64"/>
          <bgColor auto="1"/>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68" formatCode="#\ ###\ ###\ ###\ ##0.00_р_."/>
      <fill>
        <patternFill patternType="solid">
          <fgColor indexed="64"/>
          <bgColor theme="0" tint="-9.9978637043366805E-2"/>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66" formatCode="[$-419]mmmm\ yyyy;@"/>
      <fill>
        <patternFill patternType="solid">
          <fgColor indexed="64"/>
          <bgColor theme="0" tint="-9.9978637043366805E-2"/>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66" formatCode="[$-419]mmmm\ yyyy;@"/>
      <fill>
        <patternFill patternType="none">
          <fgColor indexed="64"/>
          <bgColor auto="1"/>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66" formatCode="[$-419]mmmm\ yyyy;@"/>
      <fill>
        <patternFill patternType="solid">
          <fgColor indexed="64"/>
          <bgColor theme="0" tint="-9.9978637043366805E-2"/>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2" formatCode="0.00"/>
      <fill>
        <patternFill patternType="solid">
          <fgColor indexed="64"/>
          <bgColor theme="0" tint="-9.9978637043366805E-2"/>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0" tint="-9.9978637043366805E-2"/>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fill>
        <patternFill patternType="solid">
          <fgColor indexed="64"/>
          <bgColor theme="0" tint="-9.9978637043366805E-2"/>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0" formatCode="General"/>
      <fill>
        <patternFill patternType="none">
          <fgColor indexed="64"/>
          <bgColor theme="0" tint="-9.9978637043366805E-2"/>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0" tint="-9.9978637043366805E-2"/>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6" tint="0.79998168889431442"/>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tint="-9.9978637043366805E-2"/>
        </patternFill>
      </fill>
      <alignment horizontal="center" vertical="center" textRotation="0" wrapText="0"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0" tint="-9.9978637043366805E-2"/>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0" tint="-9.9978637043366805E-2"/>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0" tint="-9.9978637043366805E-2"/>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rgb="FF000000"/>
        <name val="Arial"/>
        <scheme val="none"/>
      </font>
      <alignment horizontal="center" vertical="center" textRotation="0" wrapText="1" indent="0" justifyLastLine="0" shrinkToFit="0" readingOrder="0"/>
    </dxf>
    <dxf>
      <font>
        <b/>
        <i val="0"/>
        <strike val="0"/>
        <condense val="0"/>
        <extend val="0"/>
        <outline val="0"/>
        <shadow val="0"/>
        <u val="none"/>
        <vertAlign val="baseline"/>
        <sz val="9"/>
        <color rgb="FF000000"/>
        <name val="Arial"/>
        <scheme val="none"/>
      </font>
      <numFmt numFmtId="30" formatCode="@"/>
      <fill>
        <patternFill patternType="solid">
          <fgColor indexed="64"/>
          <bgColor theme="0" tint="-0.249977111117893"/>
        </patternFill>
      </fill>
      <alignment horizontal="center" vertical="center" textRotation="0" wrapText="1" indent="0" justifyLastLine="0" shrinkToFit="0" readingOrder="0"/>
    </dxf>
    <dxf>
      <font>
        <color theme="0" tint="-9.9948118533890809E-2"/>
      </font>
    </dxf>
    <dxf>
      <font>
        <color theme="0" tint="-9.9948118533890809E-2"/>
      </font>
      <numFmt numFmtId="166" formatCode="[$-419]mmmm\ yyyy;@"/>
      <fill>
        <patternFill>
          <fgColor theme="0" tint="-9.9948118533890809E-2"/>
        </patternFill>
      </fill>
    </dxf>
    <dxf>
      <font>
        <color theme="0" tint="-9.9948118533890809E-2"/>
      </font>
      <numFmt numFmtId="166" formatCode="[$-419]mmmm\ 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FF"/>
      <color rgb="FFDDDDDD"/>
      <color rgb="FFEAEAEA"/>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77;&#1088;&#1074;&#1099;&#1081;%20&#1086;&#1090;&#1076;&#1077;&#108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43;&#1052;&#1077;&#1090;&#10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ПЗ"/>
      <sheetName val="РПЦЗ"/>
      <sheetName val="ПП"/>
      <sheetName val="Отчет РПЗ(ПЗ)_ПЗИП"/>
      <sheetName val="Отчет о ПП"/>
      <sheetName val="Сведения о ЗД"/>
      <sheetName val="Справочно"/>
      <sheetName val="Коды заказчик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ПЗ"/>
      <sheetName val="РПЦЗ"/>
      <sheetName val="ПП"/>
      <sheetName val="Отчет РПЗ(ПЗ)_ПЗИП"/>
      <sheetName val="Отчет о ПП"/>
      <sheetName val="Сведения о ЗД"/>
      <sheetName val="Справочно"/>
      <sheetName val="Коды заказчиков"/>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tables/table1.xml><?xml version="1.0" encoding="utf-8"?>
<table xmlns="http://schemas.openxmlformats.org/spreadsheetml/2006/main" id="5" name="Таблица5" displayName="Таблица5" ref="A15:AO226" totalsRowShown="0" headerRowDxfId="49" dataDxfId="48" tableBorderDxfId="47">
  <autoFilter ref="A15:AO226"/>
  <tableColumns count="41">
    <tableColumn id="1" name="1" dataDxfId="46">
      <calculatedColumnFormula>INDEX(Диапазон1,ROW(), COLUMN())</calculatedColumnFormula>
    </tableColumn>
    <tableColumn id="2" name="2" dataDxfId="45">
      <calculatedColumnFormula>РПЗ!$D16</calculatedColumnFormula>
    </tableColumn>
    <tableColumn id="8" name="3" dataDxfId="44">
      <calculatedColumnFormula>РПЗ!$AA16</calculatedColumnFormula>
    </tableColumn>
    <tableColumn id="7" name="4" dataDxfId="43">
      <calculatedColumnFormula>РПЗ!#REF!</calculatedColumnFormula>
    </tableColumn>
    <tableColumn id="27" name="5" dataDxfId="42"/>
    <tableColumn id="3" name="6" dataDxfId="41">
      <calculatedColumnFormula>РПЗ!Q16</calculatedColumnFormula>
    </tableColumn>
    <tableColumn id="25" name="7" dataDxfId="40"/>
    <tableColumn id="5" name="7.1" dataDxfId="39">
      <calculatedColumnFormula>РПЗ!R16</calculatedColumnFormula>
    </tableColumn>
    <tableColumn id="4" name="8" dataDxfId="38">
      <calculatedColumnFormula>РПЗ!W16</calculatedColumnFormula>
    </tableColumn>
    <tableColumn id="41" name="8.1" dataDxfId="37">
      <calculatedColumnFormula>РПЗ!X16</calculatedColumnFormula>
    </tableColumn>
    <tableColumn id="23" name="8.2" dataDxfId="36">
      <calculatedColumnFormula>РПЗ!Z16</calculatedColumnFormula>
    </tableColumn>
    <tableColumn id="9" name="9" dataDxfId="35"/>
    <tableColumn id="10" name="10" dataDxfId="34">
      <calculatedColumnFormula>РПЗ!O16</calculatedColumnFormula>
    </tableColumn>
    <tableColumn id="11" name="11" dataDxfId="33"/>
    <tableColumn id="22" name="12" dataDxfId="32"/>
    <tableColumn id="12" name="13" dataDxfId="31"/>
    <tableColumn id="13" name="14" dataDxfId="30"/>
    <tableColumn id="14" name="15" dataDxfId="29"/>
    <tableColumn id="15" name="16" dataDxfId="28"/>
    <tableColumn id="28" name="17" dataDxfId="27"/>
    <tableColumn id="16" name="18" dataDxfId="26">
      <calculatedColumnFormula>РПЗ!P16</calculatedColumnFormula>
    </tableColumn>
    <tableColumn id="17" name="19" dataDxfId="25"/>
    <tableColumn id="18" name="20" dataDxfId="24">
      <calculatedColumnFormula>РПЗ!L16</calculatedColumnFormula>
    </tableColumn>
    <tableColumn id="34" name="21" dataDxfId="23"/>
    <tableColumn id="35" name="22" dataDxfId="22"/>
    <tableColumn id="29" name="23" dataDxfId="21"/>
    <tableColumn id="38" name="24" dataDxfId="20"/>
    <tableColumn id="20" name="25" dataDxfId="19"/>
    <tableColumn id="21" name="26" dataDxfId="18"/>
    <tableColumn id="37" name="27" dataDxfId="17"/>
    <tableColumn id="39" name="28" dataDxfId="16"/>
    <tableColumn id="6" name="29" dataDxfId="15"/>
    <tableColumn id="36" name="30" dataDxfId="14"/>
    <tableColumn id="33" name="31" dataDxfId="13">
      <calculatedColumnFormula>IF(Таблица5[[#This Row],[30]]=0,"НД",Таблица5[[#This Row],[20]]-Таблица5[[#This Row],[30]])</calculatedColumnFormula>
    </tableColumn>
    <tableColumn id="31" name="32" dataDxfId="12" dataCellStyle="Процентный">
      <calculatedColumnFormula>IF(((1-Таблица5[[#This Row],[30]]/Таблица5[[#This Row],[20]])=1),"НД",(1-Таблица5[[#This Row],[30]]/Таблица5[[#This Row],[20]]))</calculatedColumnFormula>
    </tableColumn>
    <tableColumn id="30" name="33" dataDxfId="11"/>
    <tableColumn id="32" name="34" dataDxfId="10"/>
    <tableColumn id="26" name="35" dataDxfId="9"/>
    <tableColumn id="40" name="36" dataDxfId="8"/>
    <tableColumn id="19" name="37" dataDxfId="7"/>
    <tableColumn id="24" name="112" dataDxfId="6">
      <calculatedColumnFormula>IF(Таблица5[[#This Row],[11]]=0,,MONTH(Таблица5[[#This Row],[11]]))</calculatedColumnFormula>
    </tableColumn>
  </tableColumns>
  <tableStyleInfo name="TableStyleLight15"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tprf.ru/" TargetMode="External"/><Relationship Id="rId2" Type="http://schemas.openxmlformats.org/officeDocument/2006/relationships/hyperlink" Target="http://etprf.ru/" TargetMode="External"/><Relationship Id="rId1" Type="http://schemas.openxmlformats.org/officeDocument/2006/relationships/hyperlink" Target="mailto:kanz@npoimpuls.ru"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AC229"/>
  <sheetViews>
    <sheetView tabSelected="1" topLeftCell="A210" zoomScale="90" zoomScaleNormal="90" workbookViewId="0">
      <selection activeCell="H219" sqref="H219"/>
    </sheetView>
  </sheetViews>
  <sheetFormatPr defaultRowHeight="15" x14ac:dyDescent="0.25"/>
  <cols>
    <col min="1" max="1" width="18.5703125" style="584" customWidth="1"/>
    <col min="2" max="2" width="11.42578125" style="584" customWidth="1"/>
    <col min="3" max="3" width="13.42578125" style="584" customWidth="1"/>
    <col min="4" max="4" width="26" style="584" customWidth="1"/>
    <col min="5" max="5" width="27.85546875" style="584" customWidth="1"/>
    <col min="6" max="6" width="11.42578125" style="584" customWidth="1"/>
    <col min="7" max="7" width="14.5703125" style="584" customWidth="1"/>
    <col min="8" max="8" width="8.5703125" style="533" customWidth="1"/>
    <col min="9" max="9" width="17.42578125" style="584" customWidth="1"/>
    <col min="10" max="10" width="15" style="584" customWidth="1"/>
    <col min="11" max="11" width="33.28515625" style="584" customWidth="1"/>
    <col min="12" max="12" width="23.140625" style="632" customWidth="1"/>
    <col min="13" max="13" width="15.140625" style="584" customWidth="1"/>
    <col min="14" max="14" width="16" style="632" customWidth="1"/>
    <col min="15" max="15" width="22" style="584" customWidth="1"/>
    <col min="16" max="16" width="16.5703125" style="584" customWidth="1"/>
    <col min="17" max="18" width="12.42578125" style="584" customWidth="1"/>
    <col min="19" max="19" width="13.85546875" style="584" customWidth="1"/>
    <col min="20" max="21" width="21.7109375" style="584" customWidth="1"/>
    <col min="22" max="22" width="12.42578125" style="584" customWidth="1"/>
    <col min="23" max="24" width="14.7109375" style="584" customWidth="1"/>
    <col min="25" max="25" width="13.85546875" style="584" customWidth="1"/>
    <col min="26" max="26" width="18.7109375" style="584" customWidth="1"/>
    <col min="27" max="28" width="13.85546875" style="584" customWidth="1"/>
    <col min="29" max="29" width="17.7109375" style="584" customWidth="1"/>
  </cols>
  <sheetData>
    <row r="2" spans="1:29" x14ac:dyDescent="0.25">
      <c r="A2" s="534"/>
      <c r="B2" s="700" t="s">
        <v>746</v>
      </c>
      <c r="C2" s="700"/>
      <c r="D2" s="700"/>
      <c r="E2" s="700"/>
      <c r="F2" s="700"/>
      <c r="G2" s="700"/>
      <c r="H2" s="700"/>
      <c r="I2" s="700"/>
      <c r="J2" s="700"/>
      <c r="K2" s="700"/>
      <c r="L2" s="701"/>
      <c r="M2" s="700"/>
      <c r="N2" s="701"/>
      <c r="O2" s="700"/>
      <c r="P2" s="700"/>
      <c r="Q2" s="700"/>
      <c r="R2" s="700"/>
      <c r="S2" s="534"/>
      <c r="T2" s="534"/>
      <c r="U2" s="534"/>
      <c r="V2" s="534"/>
      <c r="W2" s="534"/>
      <c r="X2" s="534"/>
      <c r="Y2" s="534"/>
      <c r="Z2" s="534"/>
      <c r="AA2" s="534"/>
      <c r="AB2" s="534"/>
      <c r="AC2" s="534"/>
    </row>
    <row r="3" spans="1:29" ht="15.75" thickBot="1" x14ac:dyDescent="0.3">
      <c r="A3" s="534"/>
      <c r="B3" s="700" t="s">
        <v>1371</v>
      </c>
      <c r="C3" s="700"/>
      <c r="D3" s="700"/>
      <c r="E3" s="700"/>
      <c r="F3" s="700"/>
      <c r="G3" s="700"/>
      <c r="H3" s="700"/>
      <c r="I3" s="700"/>
      <c r="J3" s="700"/>
      <c r="K3" s="700"/>
      <c r="L3" s="701"/>
      <c r="M3" s="700"/>
      <c r="N3" s="701"/>
      <c r="O3" s="700"/>
      <c r="P3" s="700"/>
      <c r="Q3" s="700"/>
      <c r="R3" s="700"/>
      <c r="S3" s="534"/>
      <c r="T3" s="534"/>
      <c r="U3" s="534"/>
      <c r="V3" s="534"/>
      <c r="W3" s="534"/>
      <c r="X3" s="534"/>
      <c r="Y3" s="534"/>
      <c r="Z3" s="534"/>
      <c r="AA3" s="534"/>
      <c r="AB3" s="534"/>
      <c r="AC3" s="534"/>
    </row>
    <row r="4" spans="1:29" ht="25.5" customHeight="1" x14ac:dyDescent="0.25">
      <c r="A4" s="583" t="s">
        <v>1</v>
      </c>
      <c r="B4" s="708" t="s">
        <v>1367</v>
      </c>
      <c r="C4" s="709"/>
    </row>
    <row r="5" spans="1:29" ht="38.25" customHeight="1" x14ac:dyDescent="0.25">
      <c r="A5" s="585" t="s">
        <v>2</v>
      </c>
      <c r="B5" s="712" t="s">
        <v>1368</v>
      </c>
      <c r="C5" s="713"/>
    </row>
    <row r="6" spans="1:29" x14ac:dyDescent="0.25">
      <c r="A6" s="585" t="s">
        <v>3</v>
      </c>
      <c r="B6" s="714" t="s">
        <v>1369</v>
      </c>
      <c r="C6" s="715"/>
    </row>
    <row r="7" spans="1:29" ht="25.5" customHeight="1" x14ac:dyDescent="0.25">
      <c r="A7" s="585" t="s">
        <v>4</v>
      </c>
      <c r="B7" s="716" t="s">
        <v>1370</v>
      </c>
      <c r="C7" s="713"/>
    </row>
    <row r="8" spans="1:29" x14ac:dyDescent="0.25">
      <c r="A8" s="585" t="s">
        <v>5</v>
      </c>
      <c r="B8" s="712">
        <v>7804478424</v>
      </c>
      <c r="C8" s="713"/>
    </row>
    <row r="9" spans="1:29" x14ac:dyDescent="0.25">
      <c r="A9" s="585" t="s">
        <v>6</v>
      </c>
      <c r="B9" s="712">
        <v>780401001</v>
      </c>
      <c r="C9" s="713"/>
    </row>
    <row r="10" spans="1:29" ht="15.75" thickBot="1" x14ac:dyDescent="0.3">
      <c r="A10" s="586" t="s">
        <v>7</v>
      </c>
      <c r="B10" s="710">
        <v>40273562000</v>
      </c>
      <c r="C10" s="711"/>
    </row>
    <row r="11" spans="1:29" ht="15.75" thickBot="1" x14ac:dyDescent="0.3"/>
    <row r="12" spans="1:29" ht="15.75" thickBot="1" x14ac:dyDescent="0.3">
      <c r="A12" s="702" t="s">
        <v>216</v>
      </c>
      <c r="B12" s="717" t="s">
        <v>748</v>
      </c>
      <c r="C12" s="717" t="s">
        <v>749</v>
      </c>
      <c r="D12" s="706" t="s">
        <v>8</v>
      </c>
      <c r="E12" s="720"/>
      <c r="F12" s="720"/>
      <c r="G12" s="720"/>
      <c r="H12" s="720"/>
      <c r="I12" s="720"/>
      <c r="J12" s="720"/>
      <c r="K12" s="720"/>
      <c r="L12" s="721"/>
      <c r="M12" s="720"/>
      <c r="N12" s="721"/>
      <c r="O12" s="720"/>
      <c r="P12" s="707"/>
      <c r="Q12" s="717" t="s">
        <v>9</v>
      </c>
      <c r="R12" s="717" t="s">
        <v>10</v>
      </c>
      <c r="S12" s="702" t="s">
        <v>11</v>
      </c>
      <c r="T12" s="702" t="s">
        <v>265</v>
      </c>
      <c r="U12" s="702" t="s">
        <v>158</v>
      </c>
      <c r="V12" s="727" t="s">
        <v>12</v>
      </c>
      <c r="W12" s="723" t="s">
        <v>111</v>
      </c>
      <c r="X12" s="724"/>
      <c r="Y12" s="724"/>
      <c r="Z12" s="724"/>
      <c r="AA12" s="702" t="s">
        <v>14</v>
      </c>
      <c r="AB12" s="702" t="s">
        <v>206</v>
      </c>
      <c r="AC12" s="702" t="s">
        <v>215</v>
      </c>
    </row>
    <row r="13" spans="1:29" ht="33" customHeight="1" thickBot="1" x14ac:dyDescent="0.3">
      <c r="A13" s="703"/>
      <c r="B13" s="718"/>
      <c r="C13" s="718"/>
      <c r="D13" s="717" t="s">
        <v>15</v>
      </c>
      <c r="E13" s="717" t="s">
        <v>16</v>
      </c>
      <c r="F13" s="706" t="s">
        <v>17</v>
      </c>
      <c r="G13" s="707"/>
      <c r="H13" s="717" t="s">
        <v>18</v>
      </c>
      <c r="I13" s="706" t="s">
        <v>19</v>
      </c>
      <c r="J13" s="707"/>
      <c r="K13" s="717" t="s">
        <v>32</v>
      </c>
      <c r="L13" s="704" t="s">
        <v>324</v>
      </c>
      <c r="M13" s="702" t="s">
        <v>20</v>
      </c>
      <c r="N13" s="704" t="s">
        <v>323</v>
      </c>
      <c r="O13" s="706" t="s">
        <v>21</v>
      </c>
      <c r="P13" s="707"/>
      <c r="Q13" s="718"/>
      <c r="R13" s="719"/>
      <c r="S13" s="703"/>
      <c r="T13" s="722"/>
      <c r="U13" s="722"/>
      <c r="V13" s="728"/>
      <c r="W13" s="725"/>
      <c r="X13" s="726"/>
      <c r="Y13" s="726"/>
      <c r="Z13" s="726"/>
      <c r="AA13" s="703"/>
      <c r="AB13" s="703"/>
      <c r="AC13" s="703"/>
    </row>
    <row r="14" spans="1:29" ht="77.25" thickBot="1" x14ac:dyDescent="0.3">
      <c r="A14" s="703"/>
      <c r="B14" s="718"/>
      <c r="C14" s="718"/>
      <c r="D14" s="718"/>
      <c r="E14" s="718"/>
      <c r="F14" s="535" t="s">
        <v>161</v>
      </c>
      <c r="G14" s="535" t="s">
        <v>22</v>
      </c>
      <c r="H14" s="718"/>
      <c r="I14" s="535" t="s">
        <v>23</v>
      </c>
      <c r="J14" s="535" t="s">
        <v>22</v>
      </c>
      <c r="K14" s="718"/>
      <c r="L14" s="705"/>
      <c r="M14" s="703"/>
      <c r="N14" s="705"/>
      <c r="O14" s="535" t="s">
        <v>65</v>
      </c>
      <c r="P14" s="535" t="s">
        <v>24</v>
      </c>
      <c r="Q14" s="718"/>
      <c r="R14" s="535" t="s">
        <v>25</v>
      </c>
      <c r="S14" s="703"/>
      <c r="T14" s="532" t="s">
        <v>213</v>
      </c>
      <c r="U14" s="532" t="s">
        <v>231</v>
      </c>
      <c r="V14" s="728"/>
      <c r="W14" s="531" t="s">
        <v>13</v>
      </c>
      <c r="X14" s="531" t="s">
        <v>209</v>
      </c>
      <c r="Y14" s="531" t="s">
        <v>208</v>
      </c>
      <c r="Z14" s="532" t="s">
        <v>26</v>
      </c>
      <c r="AA14" s="703"/>
      <c r="AB14" s="703"/>
      <c r="AC14" s="703"/>
    </row>
    <row r="15" spans="1:29" x14ac:dyDescent="0.25">
      <c r="A15" s="536" t="s">
        <v>121</v>
      </c>
      <c r="B15" s="536" t="s">
        <v>122</v>
      </c>
      <c r="C15" s="536" t="s">
        <v>123</v>
      </c>
      <c r="D15" s="536" t="s">
        <v>124</v>
      </c>
      <c r="E15" s="633" t="s">
        <v>125</v>
      </c>
      <c r="F15" s="536" t="s">
        <v>126</v>
      </c>
      <c r="G15" s="536" t="s">
        <v>127</v>
      </c>
      <c r="H15" s="536" t="s">
        <v>128</v>
      </c>
      <c r="I15" s="536" t="s">
        <v>129</v>
      </c>
      <c r="J15" s="536" t="s">
        <v>130</v>
      </c>
      <c r="K15" s="633" t="s">
        <v>131</v>
      </c>
      <c r="L15" s="636" t="s">
        <v>27</v>
      </c>
      <c r="M15" s="536" t="s">
        <v>28</v>
      </c>
      <c r="N15" s="636" t="s">
        <v>167</v>
      </c>
      <c r="O15" s="633" t="s">
        <v>132</v>
      </c>
      <c r="P15" s="633" t="s">
        <v>133</v>
      </c>
      <c r="Q15" s="536" t="s">
        <v>134</v>
      </c>
      <c r="R15" s="633" t="s">
        <v>135</v>
      </c>
      <c r="S15" s="640" t="s">
        <v>143</v>
      </c>
      <c r="T15" s="536" t="s">
        <v>325</v>
      </c>
      <c r="U15" s="536" t="s">
        <v>144</v>
      </c>
      <c r="V15" s="641" t="s">
        <v>145</v>
      </c>
      <c r="W15" s="640" t="s">
        <v>326</v>
      </c>
      <c r="X15" s="640" t="s">
        <v>327</v>
      </c>
      <c r="Y15" s="640" t="s">
        <v>328</v>
      </c>
      <c r="Z15" s="640" t="s">
        <v>146</v>
      </c>
      <c r="AA15" s="640" t="s">
        <v>147</v>
      </c>
      <c r="AB15" s="640" t="s">
        <v>148</v>
      </c>
      <c r="AC15" s="640" t="s">
        <v>159</v>
      </c>
    </row>
    <row r="16" spans="1:29" s="577" customFormat="1" ht="80.099999999999994" customHeight="1" x14ac:dyDescent="0.2">
      <c r="A16" s="588" t="s">
        <v>1668</v>
      </c>
      <c r="B16" s="548">
        <v>84</v>
      </c>
      <c r="C16" s="548" t="s">
        <v>1327</v>
      </c>
      <c r="D16" s="570" t="s">
        <v>1669</v>
      </c>
      <c r="E16" s="540" t="s">
        <v>1328</v>
      </c>
      <c r="F16" s="571" t="s">
        <v>1329</v>
      </c>
      <c r="G16" s="571" t="s">
        <v>1330</v>
      </c>
      <c r="H16" s="540" t="s">
        <v>121</v>
      </c>
      <c r="I16" s="570">
        <v>40265562000</v>
      </c>
      <c r="J16" s="540" t="s">
        <v>1331</v>
      </c>
      <c r="K16" s="647">
        <v>2000000</v>
      </c>
      <c r="L16" s="591">
        <v>2000000</v>
      </c>
      <c r="M16" s="546" t="s">
        <v>1332</v>
      </c>
      <c r="N16" s="591">
        <v>2000000</v>
      </c>
      <c r="O16" s="545">
        <v>42736</v>
      </c>
      <c r="P16" s="572">
        <v>43070</v>
      </c>
      <c r="Q16" s="546" t="s">
        <v>112</v>
      </c>
      <c r="R16" s="546" t="s">
        <v>115</v>
      </c>
      <c r="S16" s="546" t="s">
        <v>100</v>
      </c>
      <c r="T16" s="546" t="s">
        <v>100</v>
      </c>
      <c r="U16" s="546" t="s">
        <v>100</v>
      </c>
      <c r="V16" s="546" t="s">
        <v>60</v>
      </c>
      <c r="W16" s="546" t="s">
        <v>69</v>
      </c>
      <c r="X16" s="546">
        <v>7717043113</v>
      </c>
      <c r="Y16" s="546" t="s">
        <v>1333</v>
      </c>
      <c r="Z16" s="591">
        <v>2000000</v>
      </c>
      <c r="AA16" s="546" t="s">
        <v>1334</v>
      </c>
      <c r="AB16" s="546" t="s">
        <v>266</v>
      </c>
      <c r="AC16" s="546" t="s">
        <v>1335</v>
      </c>
    </row>
    <row r="17" spans="1:29" s="577" customFormat="1" ht="80.099999999999994" customHeight="1" x14ac:dyDescent="0.2">
      <c r="A17" s="588" t="s">
        <v>1670</v>
      </c>
      <c r="B17" s="538" t="s">
        <v>1336</v>
      </c>
      <c r="C17" s="548" t="s">
        <v>1337</v>
      </c>
      <c r="D17" s="540" t="s">
        <v>1671</v>
      </c>
      <c r="E17" s="540" t="s">
        <v>1328</v>
      </c>
      <c r="F17" s="571" t="s">
        <v>1329</v>
      </c>
      <c r="G17" s="571" t="s">
        <v>1330</v>
      </c>
      <c r="H17" s="540" t="s">
        <v>121</v>
      </c>
      <c r="I17" s="573">
        <v>40273564000</v>
      </c>
      <c r="J17" s="537" t="s">
        <v>1338</v>
      </c>
      <c r="K17" s="541">
        <v>2206618</v>
      </c>
      <c r="L17" s="639">
        <v>2206618</v>
      </c>
      <c r="M17" s="553" t="s">
        <v>1332</v>
      </c>
      <c r="N17" s="639" t="s">
        <v>1339</v>
      </c>
      <c r="O17" s="574">
        <v>42826</v>
      </c>
      <c r="P17" s="574">
        <v>42846</v>
      </c>
      <c r="Q17" s="553" t="s">
        <v>112</v>
      </c>
      <c r="R17" s="553" t="s">
        <v>115</v>
      </c>
      <c r="S17" s="546" t="s">
        <v>100</v>
      </c>
      <c r="T17" s="553" t="s">
        <v>100</v>
      </c>
      <c r="U17" s="553" t="s">
        <v>100</v>
      </c>
      <c r="V17" s="553" t="s">
        <v>60</v>
      </c>
      <c r="W17" s="553" t="s">
        <v>92</v>
      </c>
      <c r="X17" s="553">
        <v>7704759968</v>
      </c>
      <c r="Y17" s="540" t="s">
        <v>1341</v>
      </c>
      <c r="Z17" s="639" t="s">
        <v>1339</v>
      </c>
      <c r="AA17" s="553" t="s">
        <v>1342</v>
      </c>
      <c r="AB17" s="553" t="s">
        <v>266</v>
      </c>
      <c r="AC17" s="553" t="s">
        <v>1343</v>
      </c>
    </row>
    <row r="18" spans="1:29" s="577" customFormat="1" ht="80.099999999999994" customHeight="1" x14ac:dyDescent="0.2">
      <c r="A18" s="588" t="s">
        <v>1672</v>
      </c>
      <c r="B18" s="575" t="s">
        <v>1336</v>
      </c>
      <c r="C18" s="548" t="s">
        <v>1337</v>
      </c>
      <c r="D18" s="573" t="s">
        <v>1869</v>
      </c>
      <c r="E18" s="540" t="s">
        <v>1328</v>
      </c>
      <c r="F18" s="571" t="s">
        <v>1329</v>
      </c>
      <c r="G18" s="571" t="s">
        <v>1330</v>
      </c>
      <c r="H18" s="540" t="s">
        <v>121</v>
      </c>
      <c r="I18" s="573">
        <v>40273564000</v>
      </c>
      <c r="J18" s="537" t="s">
        <v>1338</v>
      </c>
      <c r="K18" s="648">
        <v>253080</v>
      </c>
      <c r="L18" s="638">
        <v>253080</v>
      </c>
      <c r="M18" s="553" t="s">
        <v>1332</v>
      </c>
      <c r="N18" s="638">
        <v>253080</v>
      </c>
      <c r="O18" s="574">
        <v>42917</v>
      </c>
      <c r="P18" s="574">
        <v>42948</v>
      </c>
      <c r="Q18" s="553" t="s">
        <v>112</v>
      </c>
      <c r="R18" s="553" t="s">
        <v>115</v>
      </c>
      <c r="S18" s="546" t="s">
        <v>100</v>
      </c>
      <c r="T18" s="553" t="s">
        <v>100</v>
      </c>
      <c r="U18" s="553" t="s">
        <v>100</v>
      </c>
      <c r="V18" s="553" t="s">
        <v>60</v>
      </c>
      <c r="W18" s="553" t="s">
        <v>69</v>
      </c>
      <c r="X18" s="553">
        <v>7813542362</v>
      </c>
      <c r="Y18" s="553" t="s">
        <v>1344</v>
      </c>
      <c r="Z18" s="638">
        <v>253080</v>
      </c>
      <c r="AA18" s="553" t="s">
        <v>1342</v>
      </c>
      <c r="AB18" s="553" t="s">
        <v>266</v>
      </c>
      <c r="AC18" s="553"/>
    </row>
    <row r="19" spans="1:29" s="577" customFormat="1" ht="80.099999999999994" customHeight="1" x14ac:dyDescent="0.2">
      <c r="A19" s="588" t="s">
        <v>1673</v>
      </c>
      <c r="B19" s="546" t="s">
        <v>1345</v>
      </c>
      <c r="C19" s="546" t="s">
        <v>1346</v>
      </c>
      <c r="D19" s="587" t="s">
        <v>1870</v>
      </c>
      <c r="E19" s="587" t="s">
        <v>1347</v>
      </c>
      <c r="F19" s="546">
        <v>876</v>
      </c>
      <c r="G19" s="546" t="s">
        <v>1348</v>
      </c>
      <c r="H19" s="546">
        <v>1</v>
      </c>
      <c r="I19" s="546">
        <v>40273562000</v>
      </c>
      <c r="J19" s="546" t="s">
        <v>1338</v>
      </c>
      <c r="K19" s="556">
        <v>230000</v>
      </c>
      <c r="L19" s="591">
        <v>230000</v>
      </c>
      <c r="M19" s="546" t="s">
        <v>1349</v>
      </c>
      <c r="N19" s="591">
        <v>230000</v>
      </c>
      <c r="O19" s="545">
        <v>42795</v>
      </c>
      <c r="P19" s="545">
        <v>43191</v>
      </c>
      <c r="Q19" s="546" t="s">
        <v>108</v>
      </c>
      <c r="R19" s="546" t="s">
        <v>1350</v>
      </c>
      <c r="S19" s="629" t="s">
        <v>1340</v>
      </c>
      <c r="T19" s="546" t="s">
        <v>1351</v>
      </c>
      <c r="U19" s="546" t="s">
        <v>1351</v>
      </c>
      <c r="V19" s="546" t="s">
        <v>60</v>
      </c>
      <c r="W19" s="546" t="s">
        <v>1351</v>
      </c>
      <c r="X19" s="546" t="s">
        <v>1351</v>
      </c>
      <c r="Y19" s="546" t="s">
        <v>1351</v>
      </c>
      <c r="Z19" s="546" t="s">
        <v>1351</v>
      </c>
      <c r="AA19" s="546" t="s">
        <v>1352</v>
      </c>
      <c r="AB19" s="578" t="s">
        <v>266</v>
      </c>
      <c r="AC19" s="546"/>
    </row>
    <row r="20" spans="1:29" s="577" customFormat="1" ht="80.099999999999994" customHeight="1" x14ac:dyDescent="0.2">
      <c r="A20" s="588" t="s">
        <v>1674</v>
      </c>
      <c r="B20" s="546" t="s">
        <v>1345</v>
      </c>
      <c r="C20" s="546" t="s">
        <v>1346</v>
      </c>
      <c r="D20" s="587" t="s">
        <v>1871</v>
      </c>
      <c r="E20" s="587" t="s">
        <v>1353</v>
      </c>
      <c r="F20" s="546">
        <v>876</v>
      </c>
      <c r="G20" s="546" t="s">
        <v>1348</v>
      </c>
      <c r="H20" s="546">
        <v>1</v>
      </c>
      <c r="I20" s="546">
        <v>40273562000</v>
      </c>
      <c r="J20" s="546" t="s">
        <v>1338</v>
      </c>
      <c r="K20" s="556">
        <v>200000</v>
      </c>
      <c r="L20" s="591">
        <v>200000</v>
      </c>
      <c r="M20" s="546" t="s">
        <v>1349</v>
      </c>
      <c r="N20" s="591">
        <v>200000</v>
      </c>
      <c r="O20" s="545">
        <v>42795</v>
      </c>
      <c r="P20" s="545">
        <v>43191</v>
      </c>
      <c r="Q20" s="546" t="s">
        <v>108</v>
      </c>
      <c r="R20" s="546" t="s">
        <v>1350</v>
      </c>
      <c r="S20" s="629" t="s">
        <v>1340</v>
      </c>
      <c r="T20" s="546" t="s">
        <v>1351</v>
      </c>
      <c r="U20" s="546" t="s">
        <v>1351</v>
      </c>
      <c r="V20" s="546" t="s">
        <v>60</v>
      </c>
      <c r="W20" s="546" t="s">
        <v>1351</v>
      </c>
      <c r="X20" s="546" t="s">
        <v>1351</v>
      </c>
      <c r="Y20" s="546" t="s">
        <v>1351</v>
      </c>
      <c r="Z20" s="546" t="s">
        <v>1351</v>
      </c>
      <c r="AA20" s="546" t="s">
        <v>1352</v>
      </c>
      <c r="AB20" s="578" t="s">
        <v>266</v>
      </c>
      <c r="AC20" s="546"/>
    </row>
    <row r="21" spans="1:29" s="577" customFormat="1" ht="80.099999999999994" customHeight="1" x14ac:dyDescent="0.2">
      <c r="A21" s="588" t="s">
        <v>1675</v>
      </c>
      <c r="B21" s="546" t="s">
        <v>1354</v>
      </c>
      <c r="C21" s="546" t="s">
        <v>1355</v>
      </c>
      <c r="D21" s="570" t="s">
        <v>1872</v>
      </c>
      <c r="E21" s="546" t="s">
        <v>1356</v>
      </c>
      <c r="F21" s="579">
        <v>876</v>
      </c>
      <c r="G21" s="579" t="s">
        <v>1357</v>
      </c>
      <c r="H21" s="576">
        <v>1</v>
      </c>
      <c r="I21" s="546">
        <v>40000000000</v>
      </c>
      <c r="J21" s="546" t="s">
        <v>1358</v>
      </c>
      <c r="K21" s="556">
        <v>2000000</v>
      </c>
      <c r="L21" s="591">
        <v>2000000</v>
      </c>
      <c r="M21" s="545" t="s">
        <v>1360</v>
      </c>
      <c r="N21" s="591" t="s">
        <v>1359</v>
      </c>
      <c r="O21" s="545">
        <v>42736</v>
      </c>
      <c r="P21" s="545">
        <v>43100</v>
      </c>
      <c r="Q21" s="546" t="s">
        <v>108</v>
      </c>
      <c r="R21" s="546" t="s">
        <v>114</v>
      </c>
      <c r="S21" s="629" t="s">
        <v>1340</v>
      </c>
      <c r="T21" s="546" t="s">
        <v>100</v>
      </c>
      <c r="U21" s="546" t="s">
        <v>100</v>
      </c>
      <c r="V21" s="546" t="s">
        <v>60</v>
      </c>
      <c r="W21" s="546" t="s">
        <v>100</v>
      </c>
      <c r="X21" s="546" t="s">
        <v>100</v>
      </c>
      <c r="Y21" s="546" t="s">
        <v>100</v>
      </c>
      <c r="Z21" s="546" t="s">
        <v>100</v>
      </c>
      <c r="AA21" s="546" t="s">
        <v>1361</v>
      </c>
      <c r="AB21" s="546" t="s">
        <v>266</v>
      </c>
      <c r="AC21" s="546"/>
    </row>
    <row r="22" spans="1:29" s="577" customFormat="1" ht="80.099999999999994" customHeight="1" x14ac:dyDescent="0.2">
      <c r="A22" s="588" t="s">
        <v>1676</v>
      </c>
      <c r="B22" s="538" t="s">
        <v>1354</v>
      </c>
      <c r="C22" s="539" t="s">
        <v>1355</v>
      </c>
      <c r="D22" s="540" t="s">
        <v>1873</v>
      </c>
      <c r="E22" s="540" t="s">
        <v>1362</v>
      </c>
      <c r="F22" s="539">
        <v>876</v>
      </c>
      <c r="G22" s="539" t="s">
        <v>1363</v>
      </c>
      <c r="H22" s="540" t="s">
        <v>121</v>
      </c>
      <c r="I22" s="539">
        <v>45000000000</v>
      </c>
      <c r="J22" s="540" t="s">
        <v>1364</v>
      </c>
      <c r="K22" s="541">
        <v>350000</v>
      </c>
      <c r="L22" s="639">
        <v>350000</v>
      </c>
      <c r="M22" s="539" t="s">
        <v>1365</v>
      </c>
      <c r="N22" s="639">
        <v>350000</v>
      </c>
      <c r="O22" s="542">
        <v>42979</v>
      </c>
      <c r="P22" s="542">
        <v>43100</v>
      </c>
      <c r="Q22" s="539" t="s">
        <v>108</v>
      </c>
      <c r="R22" s="539" t="s">
        <v>114</v>
      </c>
      <c r="S22" s="629" t="s">
        <v>1340</v>
      </c>
      <c r="T22" s="539" t="s">
        <v>100</v>
      </c>
      <c r="U22" s="539" t="s">
        <v>100</v>
      </c>
      <c r="V22" s="539" t="s">
        <v>60</v>
      </c>
      <c r="W22" s="539" t="s">
        <v>100</v>
      </c>
      <c r="X22" s="539" t="s">
        <v>100</v>
      </c>
      <c r="Y22" s="539" t="s">
        <v>100</v>
      </c>
      <c r="Z22" s="539" t="s">
        <v>100</v>
      </c>
      <c r="AA22" s="539" t="s">
        <v>1366</v>
      </c>
      <c r="AB22" s="546" t="s">
        <v>266</v>
      </c>
      <c r="AC22" s="546"/>
    </row>
    <row r="23" spans="1:29" s="577" customFormat="1" ht="80.099999999999994" customHeight="1" x14ac:dyDescent="0.2">
      <c r="A23" s="588" t="s">
        <v>1677</v>
      </c>
      <c r="B23" s="544" t="s">
        <v>1372</v>
      </c>
      <c r="C23" s="544" t="s">
        <v>1373</v>
      </c>
      <c r="D23" s="544" t="s">
        <v>1874</v>
      </c>
      <c r="E23" s="588" t="s">
        <v>1374</v>
      </c>
      <c r="F23" s="539" t="s">
        <v>1329</v>
      </c>
      <c r="G23" s="539" t="s">
        <v>1330</v>
      </c>
      <c r="H23" s="540" t="s">
        <v>121</v>
      </c>
      <c r="I23" s="539">
        <v>40273562000</v>
      </c>
      <c r="J23" s="540" t="s">
        <v>1338</v>
      </c>
      <c r="K23" s="544" t="s">
        <v>1375</v>
      </c>
      <c r="L23" s="591">
        <v>2000000</v>
      </c>
      <c r="M23" s="544" t="s">
        <v>1376</v>
      </c>
      <c r="N23" s="591">
        <v>2000000</v>
      </c>
      <c r="O23" s="545">
        <v>42856</v>
      </c>
      <c r="P23" s="545">
        <v>42948</v>
      </c>
      <c r="Q23" s="544" t="s">
        <v>110</v>
      </c>
      <c r="R23" s="539" t="s">
        <v>114</v>
      </c>
      <c r="S23" s="629" t="s">
        <v>1340</v>
      </c>
      <c r="T23" s="539" t="s">
        <v>100</v>
      </c>
      <c r="U23" s="539" t="s">
        <v>100</v>
      </c>
      <c r="V23" s="539" t="s">
        <v>60</v>
      </c>
      <c r="W23" s="539" t="s">
        <v>100</v>
      </c>
      <c r="X23" s="539" t="s">
        <v>100</v>
      </c>
      <c r="Y23" s="539" t="s">
        <v>100</v>
      </c>
      <c r="Z23" s="539" t="s">
        <v>100</v>
      </c>
      <c r="AA23" s="546" t="s">
        <v>1377</v>
      </c>
      <c r="AB23" s="578" t="s">
        <v>266</v>
      </c>
      <c r="AC23" s="546"/>
    </row>
    <row r="24" spans="1:29" s="577" customFormat="1" ht="80.099999999999994" customHeight="1" x14ac:dyDescent="0.2">
      <c r="A24" s="588" t="s">
        <v>1678</v>
      </c>
      <c r="B24" s="544" t="s">
        <v>1378</v>
      </c>
      <c r="C24" s="544" t="s">
        <v>1379</v>
      </c>
      <c r="D24" s="544" t="s">
        <v>1875</v>
      </c>
      <c r="E24" s="588" t="s">
        <v>1380</v>
      </c>
      <c r="F24" s="539" t="s">
        <v>1329</v>
      </c>
      <c r="G24" s="539" t="s">
        <v>1330</v>
      </c>
      <c r="H24" s="540" t="s">
        <v>121</v>
      </c>
      <c r="I24" s="539">
        <v>40273562000</v>
      </c>
      <c r="J24" s="540" t="s">
        <v>1338</v>
      </c>
      <c r="K24" s="656">
        <v>800000</v>
      </c>
      <c r="L24" s="591">
        <v>800000</v>
      </c>
      <c r="M24" s="544" t="s">
        <v>1381</v>
      </c>
      <c r="N24" s="591">
        <v>800000</v>
      </c>
      <c r="O24" s="545">
        <v>42979</v>
      </c>
      <c r="P24" s="545">
        <v>43040</v>
      </c>
      <c r="Q24" s="544" t="s">
        <v>110</v>
      </c>
      <c r="R24" s="539" t="s">
        <v>114</v>
      </c>
      <c r="S24" s="629" t="s">
        <v>1340</v>
      </c>
      <c r="T24" s="539" t="s">
        <v>100</v>
      </c>
      <c r="U24" s="539" t="s">
        <v>100</v>
      </c>
      <c r="V24" s="539" t="s">
        <v>60</v>
      </c>
      <c r="W24" s="539" t="s">
        <v>100</v>
      </c>
      <c r="X24" s="539" t="s">
        <v>100</v>
      </c>
      <c r="Y24" s="539" t="s">
        <v>100</v>
      </c>
      <c r="Z24" s="539" t="s">
        <v>100</v>
      </c>
      <c r="AA24" s="546" t="s">
        <v>1377</v>
      </c>
      <c r="AB24" s="578" t="s">
        <v>266</v>
      </c>
      <c r="AC24" s="546"/>
    </row>
    <row r="25" spans="1:29" s="577" customFormat="1" ht="80.099999999999994" customHeight="1" x14ac:dyDescent="0.2">
      <c r="A25" s="588" t="s">
        <v>1679</v>
      </c>
      <c r="B25" s="544" t="s">
        <v>1382</v>
      </c>
      <c r="C25" s="544" t="s">
        <v>1383</v>
      </c>
      <c r="D25" s="544" t="s">
        <v>1876</v>
      </c>
      <c r="E25" s="588" t="s">
        <v>1380</v>
      </c>
      <c r="F25" s="539" t="s">
        <v>1329</v>
      </c>
      <c r="G25" s="539" t="s">
        <v>1330</v>
      </c>
      <c r="H25" s="540" t="s">
        <v>121</v>
      </c>
      <c r="I25" s="539">
        <v>40273562000</v>
      </c>
      <c r="J25" s="540" t="s">
        <v>1338</v>
      </c>
      <c r="K25" s="656">
        <v>300000</v>
      </c>
      <c r="L25" s="591">
        <v>300000</v>
      </c>
      <c r="M25" s="544" t="s">
        <v>1376</v>
      </c>
      <c r="N25" s="591">
        <v>300000</v>
      </c>
      <c r="O25" s="545">
        <v>42826</v>
      </c>
      <c r="P25" s="545">
        <v>42887</v>
      </c>
      <c r="Q25" s="544" t="s">
        <v>110</v>
      </c>
      <c r="R25" s="539" t="s">
        <v>114</v>
      </c>
      <c r="S25" s="629" t="s">
        <v>1340</v>
      </c>
      <c r="T25" s="539" t="s">
        <v>100</v>
      </c>
      <c r="U25" s="539" t="s">
        <v>100</v>
      </c>
      <c r="V25" s="539" t="s">
        <v>60</v>
      </c>
      <c r="W25" s="539" t="s">
        <v>100</v>
      </c>
      <c r="X25" s="539" t="s">
        <v>100</v>
      </c>
      <c r="Y25" s="539" t="s">
        <v>100</v>
      </c>
      <c r="Z25" s="539" t="s">
        <v>100</v>
      </c>
      <c r="AA25" s="546" t="s">
        <v>1377</v>
      </c>
      <c r="AB25" s="578" t="s">
        <v>266</v>
      </c>
      <c r="AC25" s="546"/>
    </row>
    <row r="26" spans="1:29" s="577" customFormat="1" ht="80.099999999999994" customHeight="1" x14ac:dyDescent="0.2">
      <c r="A26" s="588" t="s">
        <v>1680</v>
      </c>
      <c r="B26" s="544" t="s">
        <v>1378</v>
      </c>
      <c r="C26" s="544" t="s">
        <v>1384</v>
      </c>
      <c r="D26" s="588" t="s">
        <v>1877</v>
      </c>
      <c r="E26" s="588" t="s">
        <v>1380</v>
      </c>
      <c r="F26" s="539" t="s">
        <v>1329</v>
      </c>
      <c r="G26" s="539" t="s">
        <v>1330</v>
      </c>
      <c r="H26" s="540" t="s">
        <v>121</v>
      </c>
      <c r="I26" s="539">
        <v>40273562000</v>
      </c>
      <c r="J26" s="540" t="s">
        <v>1338</v>
      </c>
      <c r="K26" s="656">
        <v>7610000</v>
      </c>
      <c r="L26" s="591">
        <v>7610000</v>
      </c>
      <c r="M26" s="544" t="s">
        <v>1385</v>
      </c>
      <c r="N26" s="591">
        <v>7610000</v>
      </c>
      <c r="O26" s="545">
        <v>42826</v>
      </c>
      <c r="P26" s="545">
        <v>42917</v>
      </c>
      <c r="Q26" s="544" t="s">
        <v>110</v>
      </c>
      <c r="R26" s="539" t="s">
        <v>114</v>
      </c>
      <c r="S26" s="629" t="s">
        <v>1340</v>
      </c>
      <c r="T26" s="539" t="s">
        <v>100</v>
      </c>
      <c r="U26" s="539" t="s">
        <v>100</v>
      </c>
      <c r="V26" s="539" t="s">
        <v>60</v>
      </c>
      <c r="W26" s="539" t="s">
        <v>100</v>
      </c>
      <c r="X26" s="539" t="s">
        <v>100</v>
      </c>
      <c r="Y26" s="539" t="s">
        <v>100</v>
      </c>
      <c r="Z26" s="539" t="s">
        <v>100</v>
      </c>
      <c r="AA26" s="546" t="s">
        <v>1377</v>
      </c>
      <c r="AB26" s="596" t="s">
        <v>1472</v>
      </c>
      <c r="AC26" s="546"/>
    </row>
    <row r="27" spans="1:29" s="577" customFormat="1" ht="80.099999999999994" customHeight="1" x14ac:dyDescent="0.2">
      <c r="A27" s="588" t="s">
        <v>1681</v>
      </c>
      <c r="B27" s="546" t="s">
        <v>1386</v>
      </c>
      <c r="C27" s="546" t="s">
        <v>1387</v>
      </c>
      <c r="D27" s="589" t="s">
        <v>1878</v>
      </c>
      <c r="E27" s="546" t="s">
        <v>1388</v>
      </c>
      <c r="F27" s="539" t="s">
        <v>1329</v>
      </c>
      <c r="G27" s="539" t="s">
        <v>1330</v>
      </c>
      <c r="H27" s="540" t="s">
        <v>121</v>
      </c>
      <c r="I27" s="539">
        <v>40273562000</v>
      </c>
      <c r="J27" s="540" t="s">
        <v>1338</v>
      </c>
      <c r="K27" s="556">
        <v>3100000</v>
      </c>
      <c r="L27" s="591">
        <v>3100000</v>
      </c>
      <c r="M27" s="546" t="s">
        <v>1376</v>
      </c>
      <c r="N27" s="591">
        <v>3100000</v>
      </c>
      <c r="O27" s="545">
        <v>42887</v>
      </c>
      <c r="P27" s="545">
        <v>42948</v>
      </c>
      <c r="Q27" s="539" t="s">
        <v>112</v>
      </c>
      <c r="R27" s="553" t="s">
        <v>115</v>
      </c>
      <c r="S27" s="539" t="s">
        <v>100</v>
      </c>
      <c r="T27" s="539" t="s">
        <v>100</v>
      </c>
      <c r="U27" s="539" t="s">
        <v>100</v>
      </c>
      <c r="V27" s="539" t="s">
        <v>60</v>
      </c>
      <c r="W27" s="546" t="s">
        <v>78</v>
      </c>
      <c r="X27" s="546">
        <v>7704867113</v>
      </c>
      <c r="Y27" s="546" t="s">
        <v>1389</v>
      </c>
      <c r="Z27" s="590">
        <v>3100000</v>
      </c>
      <c r="AA27" s="546" t="s">
        <v>1377</v>
      </c>
      <c r="AB27" s="578" t="s">
        <v>266</v>
      </c>
      <c r="AC27" s="546"/>
    </row>
    <row r="28" spans="1:29" s="577" customFormat="1" ht="80.099999999999994" customHeight="1" x14ac:dyDescent="0.2">
      <c r="A28" s="588" t="s">
        <v>1682</v>
      </c>
      <c r="B28" s="546" t="s">
        <v>1390</v>
      </c>
      <c r="C28" s="546" t="s">
        <v>1391</v>
      </c>
      <c r="D28" s="546" t="s">
        <v>1879</v>
      </c>
      <c r="E28" s="546" t="s">
        <v>1392</v>
      </c>
      <c r="F28" s="539" t="s">
        <v>1329</v>
      </c>
      <c r="G28" s="539" t="s">
        <v>1330</v>
      </c>
      <c r="H28" s="540" t="s">
        <v>121</v>
      </c>
      <c r="I28" s="539">
        <v>40273562000</v>
      </c>
      <c r="J28" s="540" t="s">
        <v>1338</v>
      </c>
      <c r="K28" s="556">
        <v>3000000</v>
      </c>
      <c r="L28" s="591">
        <v>1100000</v>
      </c>
      <c r="M28" s="546" t="s">
        <v>1393</v>
      </c>
      <c r="N28" s="591">
        <v>1100000</v>
      </c>
      <c r="O28" s="545">
        <v>42856</v>
      </c>
      <c r="P28" s="545">
        <v>42917</v>
      </c>
      <c r="Q28" s="539" t="s">
        <v>112</v>
      </c>
      <c r="R28" s="553" t="s">
        <v>115</v>
      </c>
      <c r="S28" s="539" t="s">
        <v>100</v>
      </c>
      <c r="T28" s="539" t="s">
        <v>100</v>
      </c>
      <c r="U28" s="539" t="s">
        <v>100</v>
      </c>
      <c r="V28" s="539" t="s">
        <v>60</v>
      </c>
      <c r="W28" s="546" t="s">
        <v>78</v>
      </c>
      <c r="X28" s="546">
        <v>7704867113</v>
      </c>
      <c r="Y28" s="546" t="s">
        <v>1389</v>
      </c>
      <c r="Z28" s="590">
        <v>1100000</v>
      </c>
      <c r="AA28" s="546" t="s">
        <v>1377</v>
      </c>
      <c r="AB28" s="578" t="s">
        <v>266</v>
      </c>
      <c r="AC28" s="546"/>
    </row>
    <row r="29" spans="1:29" s="577" customFormat="1" ht="80.099999999999994" customHeight="1" x14ac:dyDescent="0.2">
      <c r="A29" s="588" t="s">
        <v>1683</v>
      </c>
      <c r="B29" s="546" t="s">
        <v>1390</v>
      </c>
      <c r="C29" s="546" t="s">
        <v>1391</v>
      </c>
      <c r="D29" s="546" t="s">
        <v>1880</v>
      </c>
      <c r="E29" s="546" t="s">
        <v>1394</v>
      </c>
      <c r="F29" s="539" t="s">
        <v>1329</v>
      </c>
      <c r="G29" s="539" t="s">
        <v>1330</v>
      </c>
      <c r="H29" s="540" t="s">
        <v>121</v>
      </c>
      <c r="I29" s="539">
        <v>40273562000</v>
      </c>
      <c r="J29" s="540" t="s">
        <v>1338</v>
      </c>
      <c r="K29" s="556">
        <v>211611.48</v>
      </c>
      <c r="L29" s="591">
        <v>1200000</v>
      </c>
      <c r="M29" s="546" t="s">
        <v>1395</v>
      </c>
      <c r="N29" s="591">
        <v>1200000</v>
      </c>
      <c r="O29" s="545">
        <v>42856</v>
      </c>
      <c r="P29" s="545">
        <v>42917</v>
      </c>
      <c r="Q29" s="544" t="s">
        <v>110</v>
      </c>
      <c r="R29" s="539" t="s">
        <v>114</v>
      </c>
      <c r="S29" s="629" t="s">
        <v>1340</v>
      </c>
      <c r="T29" s="539" t="s">
        <v>100</v>
      </c>
      <c r="U29" s="539" t="s">
        <v>100</v>
      </c>
      <c r="V29" s="539" t="s">
        <v>60</v>
      </c>
      <c r="W29" s="539" t="s">
        <v>100</v>
      </c>
      <c r="X29" s="539" t="s">
        <v>100</v>
      </c>
      <c r="Y29" s="539" t="s">
        <v>100</v>
      </c>
      <c r="Z29" s="539" t="s">
        <v>100</v>
      </c>
      <c r="AA29" s="546" t="s">
        <v>1377</v>
      </c>
      <c r="AB29" s="578" t="s">
        <v>266</v>
      </c>
      <c r="AC29" s="546"/>
    </row>
    <row r="30" spans="1:29" s="577" customFormat="1" ht="80.099999999999994" customHeight="1" x14ac:dyDescent="0.2">
      <c r="A30" s="588" t="s">
        <v>1684</v>
      </c>
      <c r="B30" s="546" t="s">
        <v>1390</v>
      </c>
      <c r="C30" s="546" t="s">
        <v>1396</v>
      </c>
      <c r="D30" s="546" t="s">
        <v>1881</v>
      </c>
      <c r="E30" s="546" t="s">
        <v>1397</v>
      </c>
      <c r="F30" s="539" t="s">
        <v>1329</v>
      </c>
      <c r="G30" s="539" t="s">
        <v>1330</v>
      </c>
      <c r="H30" s="540" t="s">
        <v>121</v>
      </c>
      <c r="I30" s="539">
        <v>40273562000</v>
      </c>
      <c r="J30" s="540" t="s">
        <v>1338</v>
      </c>
      <c r="K30" s="556">
        <v>1167000</v>
      </c>
      <c r="L30" s="591">
        <v>1167000</v>
      </c>
      <c r="M30" s="546" t="s">
        <v>1393</v>
      </c>
      <c r="N30" s="591">
        <v>1167000</v>
      </c>
      <c r="O30" s="545">
        <v>42917</v>
      </c>
      <c r="P30" s="545">
        <v>42979</v>
      </c>
      <c r="Q30" s="539" t="s">
        <v>112</v>
      </c>
      <c r="R30" s="553" t="s">
        <v>115</v>
      </c>
      <c r="S30" s="539" t="s">
        <v>100</v>
      </c>
      <c r="T30" s="539" t="s">
        <v>100</v>
      </c>
      <c r="U30" s="539" t="s">
        <v>100</v>
      </c>
      <c r="V30" s="539" t="s">
        <v>60</v>
      </c>
      <c r="W30" s="546" t="s">
        <v>78</v>
      </c>
      <c r="X30" s="546">
        <v>7704867113</v>
      </c>
      <c r="Y30" s="546" t="s">
        <v>1389</v>
      </c>
      <c r="Z30" s="590">
        <v>1167000</v>
      </c>
      <c r="AA30" s="546" t="s">
        <v>1377</v>
      </c>
      <c r="AB30" s="578" t="s">
        <v>266</v>
      </c>
      <c r="AC30" s="546"/>
    </row>
    <row r="31" spans="1:29" s="577" customFormat="1" ht="80.099999999999994" customHeight="1" x14ac:dyDescent="0.2">
      <c r="A31" s="588" t="s">
        <v>1685</v>
      </c>
      <c r="B31" s="546" t="s">
        <v>1390</v>
      </c>
      <c r="C31" s="546" t="s">
        <v>1398</v>
      </c>
      <c r="D31" s="546" t="s">
        <v>1882</v>
      </c>
      <c r="E31" s="546" t="s">
        <v>1399</v>
      </c>
      <c r="F31" s="539" t="s">
        <v>1329</v>
      </c>
      <c r="G31" s="539" t="s">
        <v>1330</v>
      </c>
      <c r="H31" s="540" t="s">
        <v>121</v>
      </c>
      <c r="I31" s="539">
        <v>40273562000</v>
      </c>
      <c r="J31" s="540" t="s">
        <v>1338</v>
      </c>
      <c r="K31" s="556">
        <v>3100000</v>
      </c>
      <c r="L31" s="591">
        <v>3000000</v>
      </c>
      <c r="M31" s="546" t="s">
        <v>1400</v>
      </c>
      <c r="N31" s="591">
        <v>3000000</v>
      </c>
      <c r="O31" s="545">
        <v>42917</v>
      </c>
      <c r="P31" s="545">
        <v>43009</v>
      </c>
      <c r="Q31" s="539" t="s">
        <v>1401</v>
      </c>
      <c r="R31" s="539" t="s">
        <v>114</v>
      </c>
      <c r="S31" s="629" t="s">
        <v>1340</v>
      </c>
      <c r="T31" s="539" t="s">
        <v>100</v>
      </c>
      <c r="U31" s="539" t="s">
        <v>100</v>
      </c>
      <c r="V31" s="539" t="s">
        <v>60</v>
      </c>
      <c r="W31" s="539" t="s">
        <v>100</v>
      </c>
      <c r="X31" s="539" t="s">
        <v>100</v>
      </c>
      <c r="Y31" s="539" t="s">
        <v>100</v>
      </c>
      <c r="Z31" s="539" t="s">
        <v>100</v>
      </c>
      <c r="AA31" s="546" t="s">
        <v>1377</v>
      </c>
      <c r="AB31" s="578" t="s">
        <v>266</v>
      </c>
      <c r="AC31" s="546"/>
    </row>
    <row r="32" spans="1:29" s="577" customFormat="1" ht="80.099999999999994" customHeight="1" x14ac:dyDescent="0.2">
      <c r="A32" s="588" t="s">
        <v>1686</v>
      </c>
      <c r="B32" s="546" t="s">
        <v>1402</v>
      </c>
      <c r="C32" s="546" t="s">
        <v>1403</v>
      </c>
      <c r="D32" s="546" t="s">
        <v>1883</v>
      </c>
      <c r="E32" s="546" t="s">
        <v>1404</v>
      </c>
      <c r="F32" s="539" t="s">
        <v>1329</v>
      </c>
      <c r="G32" s="539" t="s">
        <v>1330</v>
      </c>
      <c r="H32" s="540" t="s">
        <v>121</v>
      </c>
      <c r="I32" s="539">
        <v>40273562000</v>
      </c>
      <c r="J32" s="540" t="s">
        <v>1338</v>
      </c>
      <c r="K32" s="591">
        <v>3000000</v>
      </c>
      <c r="L32" s="591">
        <v>2000000</v>
      </c>
      <c r="M32" s="546" t="s">
        <v>1405</v>
      </c>
      <c r="N32" s="591">
        <v>2000000</v>
      </c>
      <c r="O32" s="545">
        <v>42795</v>
      </c>
      <c r="P32" s="545">
        <v>42856</v>
      </c>
      <c r="Q32" s="539" t="s">
        <v>1401</v>
      </c>
      <c r="R32" s="539" t="s">
        <v>114</v>
      </c>
      <c r="S32" s="629" t="s">
        <v>1340</v>
      </c>
      <c r="T32" s="539" t="s">
        <v>100</v>
      </c>
      <c r="U32" s="539" t="s">
        <v>100</v>
      </c>
      <c r="V32" s="539" t="s">
        <v>60</v>
      </c>
      <c r="W32" s="539" t="s">
        <v>100</v>
      </c>
      <c r="X32" s="539" t="s">
        <v>100</v>
      </c>
      <c r="Y32" s="539" t="s">
        <v>100</v>
      </c>
      <c r="Z32" s="539" t="s">
        <v>100</v>
      </c>
      <c r="AA32" s="546" t="s">
        <v>1377</v>
      </c>
      <c r="AB32" s="578" t="s">
        <v>266</v>
      </c>
      <c r="AC32" s="546"/>
    </row>
    <row r="33" spans="1:29" s="577" customFormat="1" ht="80.099999999999994" customHeight="1" x14ac:dyDescent="0.2">
      <c r="A33" s="588" t="s">
        <v>1687</v>
      </c>
      <c r="B33" s="546" t="s">
        <v>1382</v>
      </c>
      <c r="C33" s="546" t="s">
        <v>1406</v>
      </c>
      <c r="D33" s="546" t="s">
        <v>1884</v>
      </c>
      <c r="E33" s="546" t="s">
        <v>1407</v>
      </c>
      <c r="F33" s="539" t="s">
        <v>1329</v>
      </c>
      <c r="G33" s="539" t="s">
        <v>1330</v>
      </c>
      <c r="H33" s="540" t="s">
        <v>121</v>
      </c>
      <c r="I33" s="539">
        <v>40273562000</v>
      </c>
      <c r="J33" s="540" t="s">
        <v>1338</v>
      </c>
      <c r="K33" s="556">
        <v>211611.48</v>
      </c>
      <c r="L33" s="591">
        <v>211611.48</v>
      </c>
      <c r="M33" s="546" t="s">
        <v>1408</v>
      </c>
      <c r="N33" s="591">
        <v>211611.48</v>
      </c>
      <c r="O33" s="545">
        <v>42736</v>
      </c>
      <c r="P33" s="545">
        <v>42826</v>
      </c>
      <c r="Q33" s="539" t="s">
        <v>112</v>
      </c>
      <c r="R33" s="553" t="s">
        <v>115</v>
      </c>
      <c r="S33" s="547" t="s">
        <v>100</v>
      </c>
      <c r="T33" s="539" t="s">
        <v>100</v>
      </c>
      <c r="U33" s="539" t="s">
        <v>100</v>
      </c>
      <c r="V33" s="539" t="s">
        <v>60</v>
      </c>
      <c r="W33" s="539" t="s">
        <v>78</v>
      </c>
      <c r="X33" s="539">
        <v>7704867113</v>
      </c>
      <c r="Y33" s="539" t="s">
        <v>1389</v>
      </c>
      <c r="Z33" s="590">
        <v>211611.48</v>
      </c>
      <c r="AA33" s="546" t="s">
        <v>1377</v>
      </c>
      <c r="AB33" s="578" t="s">
        <v>266</v>
      </c>
      <c r="AC33" s="546"/>
    </row>
    <row r="34" spans="1:29" s="577" customFormat="1" ht="80.099999999999994" customHeight="1" x14ac:dyDescent="0.2">
      <c r="A34" s="588" t="s">
        <v>1688</v>
      </c>
      <c r="B34" s="539" t="s">
        <v>1409</v>
      </c>
      <c r="C34" s="539" t="s">
        <v>1410</v>
      </c>
      <c r="D34" s="546" t="s">
        <v>1885</v>
      </c>
      <c r="E34" s="546" t="s">
        <v>1411</v>
      </c>
      <c r="F34" s="539" t="s">
        <v>1329</v>
      </c>
      <c r="G34" s="539" t="s">
        <v>1330</v>
      </c>
      <c r="H34" s="540" t="s">
        <v>121</v>
      </c>
      <c r="I34" s="539">
        <v>40273562000</v>
      </c>
      <c r="J34" s="540" t="s">
        <v>1338</v>
      </c>
      <c r="K34" s="556">
        <v>300000</v>
      </c>
      <c r="L34" s="591">
        <v>300000</v>
      </c>
      <c r="M34" s="546" t="s">
        <v>1408</v>
      </c>
      <c r="N34" s="591">
        <v>300000</v>
      </c>
      <c r="O34" s="545">
        <v>42736</v>
      </c>
      <c r="P34" s="545">
        <v>42826</v>
      </c>
      <c r="Q34" s="539" t="s">
        <v>112</v>
      </c>
      <c r="R34" s="553" t="s">
        <v>115</v>
      </c>
      <c r="S34" s="547" t="s">
        <v>100</v>
      </c>
      <c r="T34" s="539" t="s">
        <v>100</v>
      </c>
      <c r="U34" s="539" t="s">
        <v>100</v>
      </c>
      <c r="V34" s="539" t="s">
        <v>60</v>
      </c>
      <c r="W34" s="539" t="s">
        <v>78</v>
      </c>
      <c r="X34" s="539">
        <v>7704867113</v>
      </c>
      <c r="Y34" s="539" t="s">
        <v>1389</v>
      </c>
      <c r="Z34" s="590">
        <v>300000</v>
      </c>
      <c r="AA34" s="546" t="s">
        <v>1377</v>
      </c>
      <c r="AB34" s="578" t="s">
        <v>266</v>
      </c>
      <c r="AC34" s="546"/>
    </row>
    <row r="35" spans="1:29" s="577" customFormat="1" ht="80.099999999999994" customHeight="1" x14ac:dyDescent="0.2">
      <c r="A35" s="588" t="s">
        <v>1689</v>
      </c>
      <c r="B35" s="546" t="s">
        <v>1382</v>
      </c>
      <c r="C35" s="546" t="s">
        <v>1406</v>
      </c>
      <c r="D35" s="546" t="s">
        <v>1886</v>
      </c>
      <c r="E35" s="546" t="s">
        <v>1412</v>
      </c>
      <c r="F35" s="539" t="s">
        <v>1329</v>
      </c>
      <c r="G35" s="539" t="s">
        <v>1330</v>
      </c>
      <c r="H35" s="540" t="s">
        <v>121</v>
      </c>
      <c r="I35" s="539">
        <v>40273562000</v>
      </c>
      <c r="J35" s="540" t="s">
        <v>1338</v>
      </c>
      <c r="K35" s="556">
        <v>1500000</v>
      </c>
      <c r="L35" s="591">
        <v>1500000</v>
      </c>
      <c r="M35" s="546" t="s">
        <v>1408</v>
      </c>
      <c r="N35" s="591">
        <v>1500000</v>
      </c>
      <c r="O35" s="545">
        <v>42887</v>
      </c>
      <c r="P35" s="545">
        <v>42979</v>
      </c>
      <c r="Q35" s="539" t="s">
        <v>112</v>
      </c>
      <c r="R35" s="553" t="s">
        <v>115</v>
      </c>
      <c r="S35" s="547" t="s">
        <v>100</v>
      </c>
      <c r="T35" s="539" t="s">
        <v>100</v>
      </c>
      <c r="U35" s="539" t="s">
        <v>100</v>
      </c>
      <c r="V35" s="539" t="s">
        <v>60</v>
      </c>
      <c r="W35" s="539" t="s">
        <v>78</v>
      </c>
      <c r="X35" s="539">
        <v>7704867113</v>
      </c>
      <c r="Y35" s="539" t="s">
        <v>1389</v>
      </c>
      <c r="Z35" s="590">
        <v>1500000</v>
      </c>
      <c r="AA35" s="546" t="s">
        <v>1377</v>
      </c>
      <c r="AB35" s="578" t="s">
        <v>266</v>
      </c>
      <c r="AC35" s="546"/>
    </row>
    <row r="36" spans="1:29" s="577" customFormat="1" ht="80.099999999999994" customHeight="1" x14ac:dyDescent="0.2">
      <c r="A36" s="588" t="s">
        <v>1690</v>
      </c>
      <c r="B36" s="546" t="s">
        <v>1372</v>
      </c>
      <c r="C36" s="546" t="s">
        <v>1373</v>
      </c>
      <c r="D36" s="546" t="s">
        <v>1887</v>
      </c>
      <c r="E36" s="546" t="s">
        <v>1407</v>
      </c>
      <c r="F36" s="539" t="s">
        <v>1329</v>
      </c>
      <c r="G36" s="539" t="s">
        <v>1330</v>
      </c>
      <c r="H36" s="540" t="s">
        <v>121</v>
      </c>
      <c r="I36" s="539">
        <v>40273562000</v>
      </c>
      <c r="J36" s="540" t="s">
        <v>1338</v>
      </c>
      <c r="K36" s="541">
        <v>5000000</v>
      </c>
      <c r="L36" s="591">
        <v>5000000</v>
      </c>
      <c r="M36" s="546" t="s">
        <v>1408</v>
      </c>
      <c r="N36" s="591">
        <v>5000000</v>
      </c>
      <c r="O36" s="545">
        <v>42795</v>
      </c>
      <c r="P36" s="545">
        <v>42887</v>
      </c>
      <c r="Q36" s="539" t="s">
        <v>112</v>
      </c>
      <c r="R36" s="553" t="s">
        <v>115</v>
      </c>
      <c r="S36" s="547" t="s">
        <v>100</v>
      </c>
      <c r="T36" s="539" t="s">
        <v>100</v>
      </c>
      <c r="U36" s="539" t="s">
        <v>100</v>
      </c>
      <c r="V36" s="539" t="s">
        <v>60</v>
      </c>
      <c r="W36" s="546" t="s">
        <v>78</v>
      </c>
      <c r="X36" s="546">
        <v>7704867113</v>
      </c>
      <c r="Y36" s="546" t="s">
        <v>1389</v>
      </c>
      <c r="Z36" s="590">
        <v>5000000</v>
      </c>
      <c r="AA36" s="546" t="s">
        <v>1377</v>
      </c>
      <c r="AB36" s="578" t="s">
        <v>266</v>
      </c>
      <c r="AC36" s="546"/>
    </row>
    <row r="37" spans="1:29" s="577" customFormat="1" ht="80.099999999999994" customHeight="1" x14ac:dyDescent="0.2">
      <c r="A37" s="588" t="s">
        <v>1691</v>
      </c>
      <c r="B37" s="546" t="s">
        <v>1372</v>
      </c>
      <c r="C37" s="546" t="s">
        <v>1373</v>
      </c>
      <c r="D37" s="546" t="s">
        <v>1888</v>
      </c>
      <c r="E37" s="546" t="s">
        <v>1407</v>
      </c>
      <c r="F37" s="539" t="s">
        <v>1329</v>
      </c>
      <c r="G37" s="539" t="s">
        <v>1330</v>
      </c>
      <c r="H37" s="540" t="s">
        <v>121</v>
      </c>
      <c r="I37" s="539">
        <v>40273562000</v>
      </c>
      <c r="J37" s="540" t="s">
        <v>1338</v>
      </c>
      <c r="K37" s="556">
        <v>4943480</v>
      </c>
      <c r="L37" s="591">
        <v>4943480</v>
      </c>
      <c r="M37" s="546" t="s">
        <v>1408</v>
      </c>
      <c r="N37" s="591">
        <v>4943480</v>
      </c>
      <c r="O37" s="545">
        <v>42979</v>
      </c>
      <c r="P37" s="545">
        <v>43040</v>
      </c>
      <c r="Q37" s="539" t="s">
        <v>112</v>
      </c>
      <c r="R37" s="553" t="s">
        <v>115</v>
      </c>
      <c r="S37" s="547" t="s">
        <v>100</v>
      </c>
      <c r="T37" s="539" t="s">
        <v>100</v>
      </c>
      <c r="U37" s="539" t="s">
        <v>100</v>
      </c>
      <c r="V37" s="539" t="s">
        <v>60</v>
      </c>
      <c r="W37" s="539" t="s">
        <v>78</v>
      </c>
      <c r="X37" s="539">
        <v>7704867113</v>
      </c>
      <c r="Y37" s="539" t="s">
        <v>1389</v>
      </c>
      <c r="Z37" s="590">
        <v>4943480</v>
      </c>
      <c r="AA37" s="546" t="s">
        <v>1377</v>
      </c>
      <c r="AB37" s="578" t="s">
        <v>266</v>
      </c>
      <c r="AC37" s="546"/>
    </row>
    <row r="38" spans="1:29" s="577" customFormat="1" ht="80.099999999999994" customHeight="1" x14ac:dyDescent="0.2">
      <c r="A38" s="588" t="s">
        <v>1692</v>
      </c>
      <c r="B38" s="539" t="s">
        <v>1409</v>
      </c>
      <c r="C38" s="539" t="s">
        <v>1410</v>
      </c>
      <c r="D38" s="546" t="s">
        <v>1889</v>
      </c>
      <c r="E38" s="546" t="s">
        <v>1411</v>
      </c>
      <c r="F38" s="539" t="s">
        <v>1329</v>
      </c>
      <c r="G38" s="539" t="s">
        <v>1330</v>
      </c>
      <c r="H38" s="540" t="s">
        <v>121</v>
      </c>
      <c r="I38" s="539">
        <v>40273562000</v>
      </c>
      <c r="J38" s="540" t="s">
        <v>1338</v>
      </c>
      <c r="K38" s="556">
        <v>300000</v>
      </c>
      <c r="L38" s="591">
        <v>300000</v>
      </c>
      <c r="M38" s="546" t="s">
        <v>1408</v>
      </c>
      <c r="N38" s="591">
        <v>300000</v>
      </c>
      <c r="O38" s="545">
        <v>42795</v>
      </c>
      <c r="P38" s="545">
        <v>42856</v>
      </c>
      <c r="Q38" s="539" t="s">
        <v>112</v>
      </c>
      <c r="R38" s="553" t="s">
        <v>115</v>
      </c>
      <c r="S38" s="547" t="s">
        <v>100</v>
      </c>
      <c r="T38" s="539" t="s">
        <v>100</v>
      </c>
      <c r="U38" s="539" t="s">
        <v>100</v>
      </c>
      <c r="V38" s="539" t="s">
        <v>60</v>
      </c>
      <c r="W38" s="539" t="s">
        <v>78</v>
      </c>
      <c r="X38" s="539">
        <v>7704867113</v>
      </c>
      <c r="Y38" s="539" t="s">
        <v>1389</v>
      </c>
      <c r="Z38" s="590">
        <v>300000</v>
      </c>
      <c r="AA38" s="546" t="s">
        <v>1377</v>
      </c>
      <c r="AB38" s="578" t="s">
        <v>266</v>
      </c>
      <c r="AC38" s="546"/>
    </row>
    <row r="39" spans="1:29" s="577" customFormat="1" ht="80.099999999999994" customHeight="1" x14ac:dyDescent="0.2">
      <c r="A39" s="588" t="s">
        <v>1693</v>
      </c>
      <c r="B39" s="546" t="s">
        <v>1372</v>
      </c>
      <c r="C39" s="546" t="s">
        <v>1373</v>
      </c>
      <c r="D39" s="546" t="s">
        <v>1890</v>
      </c>
      <c r="E39" s="546" t="s">
        <v>1407</v>
      </c>
      <c r="F39" s="539" t="s">
        <v>1413</v>
      </c>
      <c r="G39" s="539" t="s">
        <v>1330</v>
      </c>
      <c r="H39" s="540" t="s">
        <v>122</v>
      </c>
      <c r="I39" s="539">
        <v>40273562001</v>
      </c>
      <c r="J39" s="540" t="s">
        <v>1338</v>
      </c>
      <c r="K39" s="556">
        <v>6000000</v>
      </c>
      <c r="L39" s="591">
        <v>6000000</v>
      </c>
      <c r="M39" s="546" t="s">
        <v>1408</v>
      </c>
      <c r="N39" s="591">
        <v>6000000</v>
      </c>
      <c r="O39" s="545">
        <v>42887</v>
      </c>
      <c r="P39" s="545">
        <v>42979</v>
      </c>
      <c r="Q39" s="539" t="s">
        <v>112</v>
      </c>
      <c r="R39" s="553" t="s">
        <v>115</v>
      </c>
      <c r="S39" s="547" t="s">
        <v>100</v>
      </c>
      <c r="T39" s="539" t="s">
        <v>100</v>
      </c>
      <c r="U39" s="539" t="s">
        <v>100</v>
      </c>
      <c r="V39" s="539" t="s">
        <v>60</v>
      </c>
      <c r="W39" s="539" t="s">
        <v>78</v>
      </c>
      <c r="X39" s="539">
        <v>7704867114</v>
      </c>
      <c r="Y39" s="539" t="s">
        <v>1389</v>
      </c>
      <c r="Z39" s="590">
        <v>6000000</v>
      </c>
      <c r="AA39" s="546" t="s">
        <v>1414</v>
      </c>
      <c r="AB39" s="596" t="s">
        <v>1472</v>
      </c>
      <c r="AC39" s="546"/>
    </row>
    <row r="40" spans="1:29" s="577" customFormat="1" ht="80.099999999999994" customHeight="1" x14ac:dyDescent="0.2">
      <c r="A40" s="588" t="s">
        <v>1694</v>
      </c>
      <c r="B40" s="546" t="s">
        <v>1409</v>
      </c>
      <c r="C40" s="546" t="s">
        <v>1410</v>
      </c>
      <c r="D40" s="546" t="s">
        <v>1891</v>
      </c>
      <c r="E40" s="546" t="s">
        <v>1415</v>
      </c>
      <c r="F40" s="539" t="s">
        <v>1329</v>
      </c>
      <c r="G40" s="539" t="s">
        <v>1330</v>
      </c>
      <c r="H40" s="540" t="s">
        <v>121</v>
      </c>
      <c r="I40" s="539">
        <v>40273562000</v>
      </c>
      <c r="J40" s="540" t="s">
        <v>1338</v>
      </c>
      <c r="K40" s="589" t="s">
        <v>1416</v>
      </c>
      <c r="L40" s="591">
        <v>350000</v>
      </c>
      <c r="M40" s="546" t="s">
        <v>1408</v>
      </c>
      <c r="N40" s="591">
        <v>350000</v>
      </c>
      <c r="O40" s="545">
        <v>42826</v>
      </c>
      <c r="P40" s="545">
        <v>42887</v>
      </c>
      <c r="Q40" s="539" t="s">
        <v>1401</v>
      </c>
      <c r="R40" s="539" t="s">
        <v>114</v>
      </c>
      <c r="S40" s="629" t="s">
        <v>1340</v>
      </c>
      <c r="T40" s="539" t="s">
        <v>100</v>
      </c>
      <c r="U40" s="539" t="s">
        <v>100</v>
      </c>
      <c r="V40" s="539" t="s">
        <v>60</v>
      </c>
      <c r="W40" s="539" t="s">
        <v>100</v>
      </c>
      <c r="X40" s="539" t="s">
        <v>100</v>
      </c>
      <c r="Y40" s="539" t="s">
        <v>100</v>
      </c>
      <c r="Z40" s="539" t="s">
        <v>100</v>
      </c>
      <c r="AA40" s="546" t="s">
        <v>1377</v>
      </c>
      <c r="AB40" s="578" t="s">
        <v>266</v>
      </c>
      <c r="AC40" s="546"/>
    </row>
    <row r="41" spans="1:29" s="577" customFormat="1" ht="80.099999999999994" customHeight="1" x14ac:dyDescent="0.2">
      <c r="A41" s="588" t="s">
        <v>1695</v>
      </c>
      <c r="B41" s="546" t="s">
        <v>1372</v>
      </c>
      <c r="C41" s="546" t="s">
        <v>1373</v>
      </c>
      <c r="D41" s="546" t="s">
        <v>1892</v>
      </c>
      <c r="E41" s="546" t="s">
        <v>1374</v>
      </c>
      <c r="F41" s="539" t="s">
        <v>1329</v>
      </c>
      <c r="G41" s="539" t="s">
        <v>1330</v>
      </c>
      <c r="H41" s="540" t="s">
        <v>121</v>
      </c>
      <c r="I41" s="539">
        <v>40273562000</v>
      </c>
      <c r="J41" s="540" t="s">
        <v>1338</v>
      </c>
      <c r="K41" s="556">
        <v>3500000</v>
      </c>
      <c r="L41" s="591">
        <v>3500000</v>
      </c>
      <c r="M41" s="546" t="s">
        <v>1408</v>
      </c>
      <c r="N41" s="591">
        <v>3500000</v>
      </c>
      <c r="O41" s="545">
        <v>42887</v>
      </c>
      <c r="P41" s="545">
        <v>42979</v>
      </c>
      <c r="Q41" s="539" t="s">
        <v>1401</v>
      </c>
      <c r="R41" s="539" t="s">
        <v>114</v>
      </c>
      <c r="S41" s="629" t="s">
        <v>1340</v>
      </c>
      <c r="T41" s="539" t="s">
        <v>100</v>
      </c>
      <c r="U41" s="539" t="s">
        <v>100</v>
      </c>
      <c r="V41" s="539" t="s">
        <v>60</v>
      </c>
      <c r="W41" s="539" t="s">
        <v>100</v>
      </c>
      <c r="X41" s="539" t="s">
        <v>100</v>
      </c>
      <c r="Y41" s="539" t="s">
        <v>100</v>
      </c>
      <c r="Z41" s="539" t="s">
        <v>100</v>
      </c>
      <c r="AA41" s="546" t="s">
        <v>1377</v>
      </c>
      <c r="AB41" s="578" t="s">
        <v>266</v>
      </c>
      <c r="AC41" s="546"/>
    </row>
    <row r="42" spans="1:29" s="577" customFormat="1" ht="80.099999999999994" customHeight="1" x14ac:dyDescent="0.2">
      <c r="A42" s="588" t="s">
        <v>1696</v>
      </c>
      <c r="B42" s="546" t="s">
        <v>1409</v>
      </c>
      <c r="C42" s="546" t="s">
        <v>1410</v>
      </c>
      <c r="D42" s="546" t="s">
        <v>1893</v>
      </c>
      <c r="E42" s="546" t="s">
        <v>1415</v>
      </c>
      <c r="F42" s="539" t="s">
        <v>1329</v>
      </c>
      <c r="G42" s="539" t="s">
        <v>1330</v>
      </c>
      <c r="H42" s="540" t="s">
        <v>121</v>
      </c>
      <c r="I42" s="539">
        <v>40273562000</v>
      </c>
      <c r="J42" s="540" t="s">
        <v>1338</v>
      </c>
      <c r="K42" s="589" t="s">
        <v>1416</v>
      </c>
      <c r="L42" s="591">
        <v>350000</v>
      </c>
      <c r="M42" s="546" t="s">
        <v>1408</v>
      </c>
      <c r="N42" s="591">
        <v>350000</v>
      </c>
      <c r="O42" s="545">
        <v>42795</v>
      </c>
      <c r="P42" s="545">
        <v>42887</v>
      </c>
      <c r="Q42" s="539" t="s">
        <v>1401</v>
      </c>
      <c r="R42" s="539" t="s">
        <v>114</v>
      </c>
      <c r="S42" s="629" t="s">
        <v>1340</v>
      </c>
      <c r="T42" s="539" t="s">
        <v>100</v>
      </c>
      <c r="U42" s="539" t="s">
        <v>100</v>
      </c>
      <c r="V42" s="539" t="s">
        <v>60</v>
      </c>
      <c r="W42" s="539" t="s">
        <v>100</v>
      </c>
      <c r="X42" s="539" t="s">
        <v>100</v>
      </c>
      <c r="Y42" s="539" t="s">
        <v>100</v>
      </c>
      <c r="Z42" s="539" t="s">
        <v>100</v>
      </c>
      <c r="AA42" s="546" t="s">
        <v>1377</v>
      </c>
      <c r="AB42" s="578" t="s">
        <v>266</v>
      </c>
      <c r="AC42" s="546"/>
    </row>
    <row r="43" spans="1:29" s="577" customFormat="1" ht="80.099999999999994" customHeight="1" x14ac:dyDescent="0.2">
      <c r="A43" s="588" t="s">
        <v>1697</v>
      </c>
      <c r="B43" s="546" t="s">
        <v>1372</v>
      </c>
      <c r="C43" s="546" t="s">
        <v>1373</v>
      </c>
      <c r="D43" s="546" t="s">
        <v>1894</v>
      </c>
      <c r="E43" s="546" t="s">
        <v>1417</v>
      </c>
      <c r="F43" s="539" t="s">
        <v>1329</v>
      </c>
      <c r="G43" s="539" t="s">
        <v>1330</v>
      </c>
      <c r="H43" s="540" t="s">
        <v>121</v>
      </c>
      <c r="I43" s="539">
        <v>40273562000</v>
      </c>
      <c r="J43" s="540" t="s">
        <v>1338</v>
      </c>
      <c r="K43" s="556">
        <v>1700000</v>
      </c>
      <c r="L43" s="591">
        <v>1700000</v>
      </c>
      <c r="M43" s="546" t="s">
        <v>1408</v>
      </c>
      <c r="N43" s="591">
        <v>1700000</v>
      </c>
      <c r="O43" s="545">
        <v>42979</v>
      </c>
      <c r="P43" s="545">
        <v>43070</v>
      </c>
      <c r="Q43" s="539" t="s">
        <v>1401</v>
      </c>
      <c r="R43" s="539" t="s">
        <v>114</v>
      </c>
      <c r="S43" s="629" t="s">
        <v>1340</v>
      </c>
      <c r="T43" s="539" t="s">
        <v>100</v>
      </c>
      <c r="U43" s="539" t="s">
        <v>100</v>
      </c>
      <c r="V43" s="539" t="s">
        <v>60</v>
      </c>
      <c r="W43" s="539" t="s">
        <v>100</v>
      </c>
      <c r="X43" s="539" t="s">
        <v>100</v>
      </c>
      <c r="Y43" s="539" t="s">
        <v>100</v>
      </c>
      <c r="Z43" s="539" t="s">
        <v>100</v>
      </c>
      <c r="AA43" s="546" t="s">
        <v>1377</v>
      </c>
      <c r="AB43" s="578" t="s">
        <v>266</v>
      </c>
      <c r="AC43" s="546"/>
    </row>
    <row r="44" spans="1:29" s="577" customFormat="1" ht="80.099999999999994" customHeight="1" x14ac:dyDescent="0.2">
      <c r="A44" s="588" t="s">
        <v>1698</v>
      </c>
      <c r="B44" s="546" t="s">
        <v>1418</v>
      </c>
      <c r="C44" s="546" t="s">
        <v>1419</v>
      </c>
      <c r="D44" s="546" t="s">
        <v>1895</v>
      </c>
      <c r="E44" s="546" t="s">
        <v>1420</v>
      </c>
      <c r="F44" s="539" t="s">
        <v>1329</v>
      </c>
      <c r="G44" s="539" t="s">
        <v>1330</v>
      </c>
      <c r="H44" s="540" t="s">
        <v>121</v>
      </c>
      <c r="I44" s="539">
        <v>40273562000</v>
      </c>
      <c r="J44" s="540" t="s">
        <v>1338</v>
      </c>
      <c r="K44" s="556">
        <v>1800000</v>
      </c>
      <c r="L44" s="591">
        <v>1800000</v>
      </c>
      <c r="M44" s="546" t="s">
        <v>1408</v>
      </c>
      <c r="N44" s="591">
        <v>1800000</v>
      </c>
      <c r="O44" s="545">
        <v>42795</v>
      </c>
      <c r="P44" s="545">
        <v>42887</v>
      </c>
      <c r="Q44" s="539" t="s">
        <v>1401</v>
      </c>
      <c r="R44" s="539" t="s">
        <v>114</v>
      </c>
      <c r="S44" s="629" t="s">
        <v>1340</v>
      </c>
      <c r="T44" s="539" t="s">
        <v>100</v>
      </c>
      <c r="U44" s="539" t="s">
        <v>100</v>
      </c>
      <c r="V44" s="539" t="s">
        <v>60</v>
      </c>
      <c r="W44" s="539" t="s">
        <v>100</v>
      </c>
      <c r="X44" s="539" t="s">
        <v>100</v>
      </c>
      <c r="Y44" s="539" t="s">
        <v>100</v>
      </c>
      <c r="Z44" s="539" t="s">
        <v>100</v>
      </c>
      <c r="AA44" s="546" t="s">
        <v>1377</v>
      </c>
      <c r="AB44" s="578" t="s">
        <v>266</v>
      </c>
      <c r="AC44" s="546"/>
    </row>
    <row r="45" spans="1:29" s="577" customFormat="1" ht="80.099999999999994" customHeight="1" x14ac:dyDescent="0.2">
      <c r="A45" s="588" t="s">
        <v>1699</v>
      </c>
      <c r="B45" s="546" t="s">
        <v>1382</v>
      </c>
      <c r="C45" s="546" t="s">
        <v>1421</v>
      </c>
      <c r="D45" s="546" t="s">
        <v>1896</v>
      </c>
      <c r="E45" s="546" t="s">
        <v>1422</v>
      </c>
      <c r="F45" s="539" t="s">
        <v>1329</v>
      </c>
      <c r="G45" s="539" t="s">
        <v>1330</v>
      </c>
      <c r="H45" s="540" t="s">
        <v>121</v>
      </c>
      <c r="I45" s="539">
        <v>40273562000</v>
      </c>
      <c r="J45" s="540" t="s">
        <v>1338</v>
      </c>
      <c r="K45" s="556">
        <v>3250000</v>
      </c>
      <c r="L45" s="591">
        <v>3250000</v>
      </c>
      <c r="M45" s="546" t="s">
        <v>1408</v>
      </c>
      <c r="N45" s="591">
        <v>3250000</v>
      </c>
      <c r="O45" s="545">
        <v>42979</v>
      </c>
      <c r="P45" s="545">
        <v>43040</v>
      </c>
      <c r="Q45" s="539" t="s">
        <v>1401</v>
      </c>
      <c r="R45" s="539" t="s">
        <v>114</v>
      </c>
      <c r="S45" s="629" t="s">
        <v>1340</v>
      </c>
      <c r="T45" s="539" t="s">
        <v>100</v>
      </c>
      <c r="U45" s="539" t="s">
        <v>100</v>
      </c>
      <c r="V45" s="539" t="s">
        <v>60</v>
      </c>
      <c r="W45" s="539" t="s">
        <v>100</v>
      </c>
      <c r="X45" s="539" t="s">
        <v>100</v>
      </c>
      <c r="Y45" s="539" t="s">
        <v>100</v>
      </c>
      <c r="Z45" s="539" t="s">
        <v>100</v>
      </c>
      <c r="AA45" s="546" t="s">
        <v>1377</v>
      </c>
      <c r="AB45" s="578" t="s">
        <v>266</v>
      </c>
      <c r="AC45" s="546"/>
    </row>
    <row r="46" spans="1:29" s="577" customFormat="1" ht="80.099999999999994" customHeight="1" x14ac:dyDescent="0.2">
      <c r="A46" s="588" t="s">
        <v>1700</v>
      </c>
      <c r="B46" s="546" t="s">
        <v>1382</v>
      </c>
      <c r="C46" s="546" t="s">
        <v>1423</v>
      </c>
      <c r="D46" s="546" t="s">
        <v>1897</v>
      </c>
      <c r="E46" s="546" t="s">
        <v>1424</v>
      </c>
      <c r="F46" s="539" t="s">
        <v>1329</v>
      </c>
      <c r="G46" s="539" t="s">
        <v>1330</v>
      </c>
      <c r="H46" s="540" t="s">
        <v>121</v>
      </c>
      <c r="I46" s="539">
        <v>40273562000</v>
      </c>
      <c r="J46" s="540" t="s">
        <v>1338</v>
      </c>
      <c r="K46" s="556">
        <v>3000000</v>
      </c>
      <c r="L46" s="591">
        <v>3000000</v>
      </c>
      <c r="M46" s="546" t="s">
        <v>1408</v>
      </c>
      <c r="N46" s="591">
        <v>3000000</v>
      </c>
      <c r="O46" s="545">
        <v>42917</v>
      </c>
      <c r="P46" s="545">
        <v>42979</v>
      </c>
      <c r="Q46" s="539" t="s">
        <v>1401</v>
      </c>
      <c r="R46" s="539" t="s">
        <v>114</v>
      </c>
      <c r="S46" s="629" t="s">
        <v>1340</v>
      </c>
      <c r="T46" s="539" t="s">
        <v>100</v>
      </c>
      <c r="U46" s="539" t="s">
        <v>100</v>
      </c>
      <c r="V46" s="539" t="s">
        <v>60</v>
      </c>
      <c r="W46" s="539" t="s">
        <v>100</v>
      </c>
      <c r="X46" s="539" t="s">
        <v>100</v>
      </c>
      <c r="Y46" s="539" t="s">
        <v>100</v>
      </c>
      <c r="Z46" s="539" t="s">
        <v>100</v>
      </c>
      <c r="AA46" s="546" t="s">
        <v>1377</v>
      </c>
      <c r="AB46" s="578" t="s">
        <v>266</v>
      </c>
      <c r="AC46" s="546"/>
    </row>
    <row r="47" spans="1:29" s="577" customFormat="1" ht="80.099999999999994" customHeight="1" x14ac:dyDescent="0.2">
      <c r="A47" s="588" t="s">
        <v>1701</v>
      </c>
      <c r="B47" s="546" t="s">
        <v>1390</v>
      </c>
      <c r="C47" s="546" t="s">
        <v>1391</v>
      </c>
      <c r="D47" s="546" t="s">
        <v>1898</v>
      </c>
      <c r="E47" s="546" t="s">
        <v>1425</v>
      </c>
      <c r="F47" s="546">
        <v>876</v>
      </c>
      <c r="G47" s="546" t="s">
        <v>1348</v>
      </c>
      <c r="H47" s="546">
        <v>1</v>
      </c>
      <c r="I47" s="546">
        <v>40273562000</v>
      </c>
      <c r="J47" s="540" t="s">
        <v>1338</v>
      </c>
      <c r="K47" s="589" t="s">
        <v>1375</v>
      </c>
      <c r="L47" s="591">
        <v>2000000</v>
      </c>
      <c r="M47" s="546" t="s">
        <v>1408</v>
      </c>
      <c r="N47" s="591">
        <v>2000000</v>
      </c>
      <c r="O47" s="545">
        <v>43009</v>
      </c>
      <c r="P47" s="545">
        <v>43070</v>
      </c>
      <c r="Q47" s="539" t="s">
        <v>112</v>
      </c>
      <c r="R47" s="553" t="s">
        <v>115</v>
      </c>
      <c r="S47" s="547" t="s">
        <v>100</v>
      </c>
      <c r="T47" s="539" t="s">
        <v>100</v>
      </c>
      <c r="U47" s="539" t="s">
        <v>100</v>
      </c>
      <c r="V47" s="539" t="s">
        <v>60</v>
      </c>
      <c r="W47" s="539" t="s">
        <v>78</v>
      </c>
      <c r="X47" s="539">
        <v>7704867113</v>
      </c>
      <c r="Y47" s="539" t="s">
        <v>1389</v>
      </c>
      <c r="Z47" s="590">
        <v>2000000</v>
      </c>
      <c r="AA47" s="546" t="s">
        <v>1377</v>
      </c>
      <c r="AB47" s="578" t="s">
        <v>266</v>
      </c>
      <c r="AC47" s="546"/>
    </row>
    <row r="48" spans="1:29" s="577" customFormat="1" ht="80.099999999999994" customHeight="1" x14ac:dyDescent="0.2">
      <c r="A48" s="588" t="s">
        <v>1702</v>
      </c>
      <c r="B48" s="539" t="s">
        <v>1409</v>
      </c>
      <c r="C48" s="539" t="s">
        <v>1410</v>
      </c>
      <c r="D48" s="546" t="s">
        <v>1899</v>
      </c>
      <c r="E48" s="546" t="s">
        <v>1426</v>
      </c>
      <c r="F48" s="539" t="s">
        <v>1329</v>
      </c>
      <c r="G48" s="539" t="s">
        <v>1330</v>
      </c>
      <c r="H48" s="540" t="s">
        <v>121</v>
      </c>
      <c r="I48" s="539">
        <v>40273562000</v>
      </c>
      <c r="J48" s="540" t="s">
        <v>1338</v>
      </c>
      <c r="K48" s="589" t="s">
        <v>1416</v>
      </c>
      <c r="L48" s="591">
        <v>350000</v>
      </c>
      <c r="M48" s="546" t="s">
        <v>1408</v>
      </c>
      <c r="N48" s="591">
        <v>350000</v>
      </c>
      <c r="O48" s="545">
        <v>42979</v>
      </c>
      <c r="P48" s="545">
        <v>43040</v>
      </c>
      <c r="Q48" s="539" t="s">
        <v>1401</v>
      </c>
      <c r="R48" s="539" t="s">
        <v>114</v>
      </c>
      <c r="S48" s="629" t="s">
        <v>1340</v>
      </c>
      <c r="T48" s="539" t="s">
        <v>100</v>
      </c>
      <c r="U48" s="539" t="s">
        <v>100</v>
      </c>
      <c r="V48" s="539" t="s">
        <v>60</v>
      </c>
      <c r="W48" s="539" t="s">
        <v>100</v>
      </c>
      <c r="X48" s="539" t="s">
        <v>100</v>
      </c>
      <c r="Y48" s="539" t="s">
        <v>100</v>
      </c>
      <c r="Z48" s="539" t="s">
        <v>100</v>
      </c>
      <c r="AA48" s="546" t="s">
        <v>1377</v>
      </c>
      <c r="AB48" s="578" t="s">
        <v>266</v>
      </c>
      <c r="AC48" s="546"/>
    </row>
    <row r="49" spans="1:29" s="577" customFormat="1" ht="80.099999999999994" customHeight="1" x14ac:dyDescent="0.2">
      <c r="A49" s="588" t="s">
        <v>1703</v>
      </c>
      <c r="B49" s="546" t="s">
        <v>1427</v>
      </c>
      <c r="C49" s="546" t="s">
        <v>1428</v>
      </c>
      <c r="D49" s="546" t="s">
        <v>1900</v>
      </c>
      <c r="E49" s="546" t="s">
        <v>1424</v>
      </c>
      <c r="F49" s="539" t="s">
        <v>1329</v>
      </c>
      <c r="G49" s="539" t="s">
        <v>1330</v>
      </c>
      <c r="H49" s="540" t="s">
        <v>121</v>
      </c>
      <c r="I49" s="539">
        <v>40273562000</v>
      </c>
      <c r="J49" s="540" t="s">
        <v>1338</v>
      </c>
      <c r="K49" s="556">
        <v>2650000</v>
      </c>
      <c r="L49" s="591">
        <v>2650000</v>
      </c>
      <c r="M49" s="546" t="s">
        <v>1408</v>
      </c>
      <c r="N49" s="591">
        <v>2650000</v>
      </c>
      <c r="O49" s="545">
        <v>43040</v>
      </c>
      <c r="P49" s="545">
        <v>43101</v>
      </c>
      <c r="Q49" s="539" t="s">
        <v>1401</v>
      </c>
      <c r="R49" s="539" t="s">
        <v>114</v>
      </c>
      <c r="S49" s="629" t="s">
        <v>1340</v>
      </c>
      <c r="T49" s="539" t="s">
        <v>100</v>
      </c>
      <c r="U49" s="539" t="s">
        <v>100</v>
      </c>
      <c r="V49" s="539" t="s">
        <v>60</v>
      </c>
      <c r="W49" s="539" t="s">
        <v>100</v>
      </c>
      <c r="X49" s="539" t="s">
        <v>100</v>
      </c>
      <c r="Y49" s="539" t="s">
        <v>100</v>
      </c>
      <c r="Z49" s="539" t="s">
        <v>100</v>
      </c>
      <c r="AA49" s="546" t="s">
        <v>1377</v>
      </c>
      <c r="AB49" s="578" t="s">
        <v>266</v>
      </c>
      <c r="AC49" s="546"/>
    </row>
    <row r="50" spans="1:29" s="577" customFormat="1" ht="80.099999999999994" customHeight="1" x14ac:dyDescent="0.2">
      <c r="A50" s="588" t="s">
        <v>1704</v>
      </c>
      <c r="B50" s="546" t="s">
        <v>1345</v>
      </c>
      <c r="C50" s="546" t="s">
        <v>1429</v>
      </c>
      <c r="D50" s="546" t="s">
        <v>1901</v>
      </c>
      <c r="E50" s="546" t="s">
        <v>1430</v>
      </c>
      <c r="F50" s="546">
        <v>876</v>
      </c>
      <c r="G50" s="546" t="s">
        <v>1348</v>
      </c>
      <c r="H50" s="546">
        <v>1</v>
      </c>
      <c r="I50" s="546">
        <v>40273562000</v>
      </c>
      <c r="J50" s="540" t="s">
        <v>1338</v>
      </c>
      <c r="K50" s="556">
        <v>380000</v>
      </c>
      <c r="L50" s="591">
        <v>380000</v>
      </c>
      <c r="M50" s="546" t="s">
        <v>1431</v>
      </c>
      <c r="N50" s="591">
        <v>380000</v>
      </c>
      <c r="O50" s="545">
        <v>42736</v>
      </c>
      <c r="P50" s="545">
        <v>43040</v>
      </c>
      <c r="Q50" s="539" t="s">
        <v>1401</v>
      </c>
      <c r="R50" s="539" t="s">
        <v>114</v>
      </c>
      <c r="S50" s="629" t="s">
        <v>1340</v>
      </c>
      <c r="T50" s="539" t="s">
        <v>100</v>
      </c>
      <c r="U50" s="539" t="s">
        <v>100</v>
      </c>
      <c r="V50" s="539" t="s">
        <v>60</v>
      </c>
      <c r="W50" s="539" t="s">
        <v>100</v>
      </c>
      <c r="X50" s="539" t="s">
        <v>100</v>
      </c>
      <c r="Y50" s="539" t="s">
        <v>100</v>
      </c>
      <c r="Z50" s="539" t="s">
        <v>100</v>
      </c>
      <c r="AA50" s="546" t="s">
        <v>1377</v>
      </c>
      <c r="AB50" s="578" t="s">
        <v>266</v>
      </c>
      <c r="AC50" s="546"/>
    </row>
    <row r="51" spans="1:29" s="577" customFormat="1" ht="80.099999999999994" customHeight="1" x14ac:dyDescent="0.2">
      <c r="A51" s="588" t="s">
        <v>1705</v>
      </c>
      <c r="B51" s="546" t="s">
        <v>1345</v>
      </c>
      <c r="C51" s="546" t="s">
        <v>1432</v>
      </c>
      <c r="D51" s="546" t="s">
        <v>1902</v>
      </c>
      <c r="E51" s="546" t="s">
        <v>1430</v>
      </c>
      <c r="F51" s="546">
        <v>876</v>
      </c>
      <c r="G51" s="546" t="s">
        <v>1348</v>
      </c>
      <c r="H51" s="546">
        <v>1</v>
      </c>
      <c r="I51" s="546">
        <v>40273562000</v>
      </c>
      <c r="J51" s="540" t="s">
        <v>1338</v>
      </c>
      <c r="K51" s="556">
        <v>280000</v>
      </c>
      <c r="L51" s="591">
        <v>280000</v>
      </c>
      <c r="M51" s="546" t="s">
        <v>1433</v>
      </c>
      <c r="N51" s="591">
        <v>280000</v>
      </c>
      <c r="O51" s="545">
        <v>42736</v>
      </c>
      <c r="P51" s="545">
        <v>43040</v>
      </c>
      <c r="Q51" s="539" t="s">
        <v>1401</v>
      </c>
      <c r="R51" s="539" t="s">
        <v>114</v>
      </c>
      <c r="S51" s="629" t="s">
        <v>1340</v>
      </c>
      <c r="T51" s="539" t="s">
        <v>100</v>
      </c>
      <c r="U51" s="539" t="s">
        <v>100</v>
      </c>
      <c r="V51" s="539" t="s">
        <v>60</v>
      </c>
      <c r="W51" s="539" t="s">
        <v>100</v>
      </c>
      <c r="X51" s="539" t="s">
        <v>100</v>
      </c>
      <c r="Y51" s="539" t="s">
        <v>100</v>
      </c>
      <c r="Z51" s="539" t="s">
        <v>100</v>
      </c>
      <c r="AA51" s="546" t="s">
        <v>1377</v>
      </c>
      <c r="AB51" s="578" t="s">
        <v>266</v>
      </c>
      <c r="AC51" s="546"/>
    </row>
    <row r="52" spans="1:29" s="577" customFormat="1" ht="80.099999999999994" customHeight="1" x14ac:dyDescent="0.2">
      <c r="A52" s="588" t="s">
        <v>1706</v>
      </c>
      <c r="B52" s="546" t="s">
        <v>1434</v>
      </c>
      <c r="C52" s="546" t="s">
        <v>1435</v>
      </c>
      <c r="D52" s="546" t="s">
        <v>1903</v>
      </c>
      <c r="E52" s="546" t="s">
        <v>1436</v>
      </c>
      <c r="F52" s="546">
        <v>876</v>
      </c>
      <c r="G52" s="546" t="s">
        <v>1348</v>
      </c>
      <c r="H52" s="546">
        <v>1</v>
      </c>
      <c r="I52" s="546">
        <v>40273562000</v>
      </c>
      <c r="J52" s="540" t="s">
        <v>1338</v>
      </c>
      <c r="K52" s="589" t="s">
        <v>1437</v>
      </c>
      <c r="L52" s="591">
        <v>200000</v>
      </c>
      <c r="M52" s="546" t="s">
        <v>1438</v>
      </c>
      <c r="N52" s="591">
        <v>200000</v>
      </c>
      <c r="O52" s="545">
        <v>42856</v>
      </c>
      <c r="P52" s="545">
        <v>42917</v>
      </c>
      <c r="Q52" s="539" t="s">
        <v>1401</v>
      </c>
      <c r="R52" s="539" t="s">
        <v>114</v>
      </c>
      <c r="S52" s="629" t="s">
        <v>1340</v>
      </c>
      <c r="T52" s="539" t="s">
        <v>100</v>
      </c>
      <c r="U52" s="539" t="s">
        <v>100</v>
      </c>
      <c r="V52" s="539" t="s">
        <v>60</v>
      </c>
      <c r="W52" s="539" t="s">
        <v>100</v>
      </c>
      <c r="X52" s="539" t="s">
        <v>100</v>
      </c>
      <c r="Y52" s="539" t="s">
        <v>100</v>
      </c>
      <c r="Z52" s="539" t="s">
        <v>100</v>
      </c>
      <c r="AA52" s="546" t="s">
        <v>1377</v>
      </c>
      <c r="AB52" s="578" t="s">
        <v>266</v>
      </c>
      <c r="AC52" s="546"/>
    </row>
    <row r="53" spans="1:29" s="577" customFormat="1" ht="80.099999999999994" customHeight="1" x14ac:dyDescent="0.2">
      <c r="A53" s="588" t="s">
        <v>1707</v>
      </c>
      <c r="B53" s="546" t="s">
        <v>1439</v>
      </c>
      <c r="C53" s="546" t="s">
        <v>1440</v>
      </c>
      <c r="D53" s="546" t="s">
        <v>1904</v>
      </c>
      <c r="E53" s="546" t="s">
        <v>1441</v>
      </c>
      <c r="F53" s="546">
        <v>876</v>
      </c>
      <c r="G53" s="546" t="s">
        <v>1348</v>
      </c>
      <c r="H53" s="546">
        <v>1</v>
      </c>
      <c r="I53" s="546">
        <v>40273562000</v>
      </c>
      <c r="J53" s="540" t="s">
        <v>1338</v>
      </c>
      <c r="K53" s="556">
        <v>260000</v>
      </c>
      <c r="L53" s="591">
        <v>260000</v>
      </c>
      <c r="M53" s="546" t="s">
        <v>1442</v>
      </c>
      <c r="N53" s="591">
        <v>260000</v>
      </c>
      <c r="O53" s="545">
        <v>42736</v>
      </c>
      <c r="P53" s="545">
        <v>43070</v>
      </c>
      <c r="Q53" s="539" t="s">
        <v>1401</v>
      </c>
      <c r="R53" s="539" t="s">
        <v>114</v>
      </c>
      <c r="S53" s="629" t="s">
        <v>1340</v>
      </c>
      <c r="T53" s="539" t="s">
        <v>100</v>
      </c>
      <c r="U53" s="539" t="s">
        <v>100</v>
      </c>
      <c r="V53" s="539" t="s">
        <v>60</v>
      </c>
      <c r="W53" s="539" t="s">
        <v>100</v>
      </c>
      <c r="X53" s="539" t="s">
        <v>100</v>
      </c>
      <c r="Y53" s="539" t="s">
        <v>100</v>
      </c>
      <c r="Z53" s="539" t="s">
        <v>100</v>
      </c>
      <c r="AA53" s="546" t="s">
        <v>1377</v>
      </c>
      <c r="AB53" s="578" t="s">
        <v>266</v>
      </c>
      <c r="AC53" s="546"/>
    </row>
    <row r="54" spans="1:29" s="577" customFormat="1" ht="80.099999999999994" customHeight="1" x14ac:dyDescent="0.2">
      <c r="A54" s="588" t="s">
        <v>1708</v>
      </c>
      <c r="B54" s="546" t="s">
        <v>1443</v>
      </c>
      <c r="C54" s="546" t="s">
        <v>1444</v>
      </c>
      <c r="D54" s="539" t="s">
        <v>1905</v>
      </c>
      <c r="E54" s="546" t="s">
        <v>1445</v>
      </c>
      <c r="F54" s="546">
        <v>876</v>
      </c>
      <c r="G54" s="546" t="s">
        <v>1348</v>
      </c>
      <c r="H54" s="546">
        <v>1</v>
      </c>
      <c r="I54" s="546">
        <v>40273562000</v>
      </c>
      <c r="J54" s="540" t="s">
        <v>1338</v>
      </c>
      <c r="K54" s="556">
        <v>150000</v>
      </c>
      <c r="L54" s="591">
        <v>150000</v>
      </c>
      <c r="M54" s="546" t="s">
        <v>1446</v>
      </c>
      <c r="N54" s="591">
        <v>150000</v>
      </c>
      <c r="O54" s="545">
        <v>42856</v>
      </c>
      <c r="P54" s="545">
        <v>42917</v>
      </c>
      <c r="Q54" s="539" t="s">
        <v>1401</v>
      </c>
      <c r="R54" s="539" t="s">
        <v>114</v>
      </c>
      <c r="S54" s="629" t="s">
        <v>1340</v>
      </c>
      <c r="T54" s="539" t="s">
        <v>100</v>
      </c>
      <c r="U54" s="539" t="s">
        <v>100</v>
      </c>
      <c r="V54" s="539" t="s">
        <v>60</v>
      </c>
      <c r="W54" s="539" t="s">
        <v>100</v>
      </c>
      <c r="X54" s="539" t="s">
        <v>100</v>
      </c>
      <c r="Y54" s="539" t="s">
        <v>100</v>
      </c>
      <c r="Z54" s="539" t="s">
        <v>100</v>
      </c>
      <c r="AA54" s="546" t="s">
        <v>1377</v>
      </c>
      <c r="AB54" s="578" t="s">
        <v>266</v>
      </c>
      <c r="AC54" s="546"/>
    </row>
    <row r="55" spans="1:29" s="577" customFormat="1" ht="80.099999999999994" customHeight="1" x14ac:dyDescent="0.2">
      <c r="A55" s="588" t="s">
        <v>1709</v>
      </c>
      <c r="B55" s="546" t="s">
        <v>1443</v>
      </c>
      <c r="C55" s="546" t="s">
        <v>1447</v>
      </c>
      <c r="D55" s="546" t="s">
        <v>1906</v>
      </c>
      <c r="E55" s="546" t="s">
        <v>1448</v>
      </c>
      <c r="F55" s="539" t="s">
        <v>1329</v>
      </c>
      <c r="G55" s="539" t="s">
        <v>1330</v>
      </c>
      <c r="H55" s="540" t="s">
        <v>121</v>
      </c>
      <c r="I55" s="539">
        <v>40273562000</v>
      </c>
      <c r="J55" s="540" t="s">
        <v>1338</v>
      </c>
      <c r="K55" s="589" t="s">
        <v>1375</v>
      </c>
      <c r="L55" s="591">
        <v>2000000</v>
      </c>
      <c r="M55" s="546" t="s">
        <v>1449</v>
      </c>
      <c r="N55" s="591">
        <v>2000000</v>
      </c>
      <c r="O55" s="545">
        <v>42917</v>
      </c>
      <c r="P55" s="545">
        <v>42979</v>
      </c>
      <c r="Q55" s="539" t="s">
        <v>1401</v>
      </c>
      <c r="R55" s="539" t="s">
        <v>114</v>
      </c>
      <c r="S55" s="629" t="s">
        <v>1340</v>
      </c>
      <c r="T55" s="539" t="s">
        <v>100</v>
      </c>
      <c r="U55" s="539" t="s">
        <v>100</v>
      </c>
      <c r="V55" s="539" t="s">
        <v>60</v>
      </c>
      <c r="W55" s="539" t="s">
        <v>100</v>
      </c>
      <c r="X55" s="539" t="s">
        <v>100</v>
      </c>
      <c r="Y55" s="539" t="s">
        <v>100</v>
      </c>
      <c r="Z55" s="539" t="s">
        <v>100</v>
      </c>
      <c r="AA55" s="546" t="s">
        <v>1377</v>
      </c>
      <c r="AB55" s="578" t="s">
        <v>266</v>
      </c>
      <c r="AC55" s="546"/>
    </row>
    <row r="56" spans="1:29" s="577" customFormat="1" ht="80.099999999999994" customHeight="1" x14ac:dyDescent="0.2">
      <c r="A56" s="588" t="s">
        <v>1710</v>
      </c>
      <c r="B56" s="546" t="s">
        <v>1345</v>
      </c>
      <c r="C56" s="546" t="s">
        <v>1450</v>
      </c>
      <c r="D56" s="546" t="s">
        <v>1907</v>
      </c>
      <c r="E56" s="546" t="s">
        <v>1451</v>
      </c>
      <c r="F56" s="539" t="s">
        <v>1329</v>
      </c>
      <c r="G56" s="539" t="s">
        <v>1330</v>
      </c>
      <c r="H56" s="540" t="s">
        <v>121</v>
      </c>
      <c r="I56" s="539">
        <v>40273562000</v>
      </c>
      <c r="J56" s="540" t="s">
        <v>1338</v>
      </c>
      <c r="K56" s="556">
        <v>150000</v>
      </c>
      <c r="L56" s="591">
        <v>150000</v>
      </c>
      <c r="M56" s="546" t="s">
        <v>1452</v>
      </c>
      <c r="N56" s="591">
        <v>150000</v>
      </c>
      <c r="O56" s="545">
        <v>42736</v>
      </c>
      <c r="P56" s="545">
        <v>43070</v>
      </c>
      <c r="Q56" s="539" t="s">
        <v>1401</v>
      </c>
      <c r="R56" s="539" t="s">
        <v>114</v>
      </c>
      <c r="S56" s="629" t="s">
        <v>1340</v>
      </c>
      <c r="T56" s="539" t="s">
        <v>100</v>
      </c>
      <c r="U56" s="539" t="s">
        <v>100</v>
      </c>
      <c r="V56" s="539" t="s">
        <v>60</v>
      </c>
      <c r="W56" s="539" t="s">
        <v>100</v>
      </c>
      <c r="X56" s="539" t="s">
        <v>100</v>
      </c>
      <c r="Y56" s="539" t="s">
        <v>100</v>
      </c>
      <c r="Z56" s="539" t="s">
        <v>100</v>
      </c>
      <c r="AA56" s="546" t="s">
        <v>1377</v>
      </c>
      <c r="AB56" s="578" t="s">
        <v>266</v>
      </c>
      <c r="AC56" s="546"/>
    </row>
    <row r="57" spans="1:29" s="577" customFormat="1" ht="80.099999999999994" customHeight="1" x14ac:dyDescent="0.2">
      <c r="A57" s="588" t="s">
        <v>1711</v>
      </c>
      <c r="B57" s="546" t="s">
        <v>1345</v>
      </c>
      <c r="C57" s="546" t="s">
        <v>1450</v>
      </c>
      <c r="D57" s="546" t="s">
        <v>1908</v>
      </c>
      <c r="E57" s="546" t="s">
        <v>1453</v>
      </c>
      <c r="F57" s="539" t="s">
        <v>1329</v>
      </c>
      <c r="G57" s="539" t="s">
        <v>1330</v>
      </c>
      <c r="H57" s="540" t="s">
        <v>121</v>
      </c>
      <c r="I57" s="539">
        <v>40273562000</v>
      </c>
      <c r="J57" s="540" t="s">
        <v>1338</v>
      </c>
      <c r="K57" s="556">
        <v>150000</v>
      </c>
      <c r="L57" s="591">
        <v>150000</v>
      </c>
      <c r="M57" s="546" t="s">
        <v>1454</v>
      </c>
      <c r="N57" s="591">
        <v>150000</v>
      </c>
      <c r="O57" s="545">
        <v>42736</v>
      </c>
      <c r="P57" s="545">
        <v>43070</v>
      </c>
      <c r="Q57" s="539" t="s">
        <v>112</v>
      </c>
      <c r="R57" s="553" t="s">
        <v>115</v>
      </c>
      <c r="S57" s="547" t="s">
        <v>100</v>
      </c>
      <c r="T57" s="539" t="s">
        <v>100</v>
      </c>
      <c r="U57" s="539" t="s">
        <v>100</v>
      </c>
      <c r="V57" s="539" t="s">
        <v>60</v>
      </c>
      <c r="W57" s="539" t="s">
        <v>78</v>
      </c>
      <c r="X57" s="539">
        <v>7704867113</v>
      </c>
      <c r="Y57" s="539" t="s">
        <v>1389</v>
      </c>
      <c r="Z57" s="590">
        <v>150000</v>
      </c>
      <c r="AA57" s="546" t="s">
        <v>1377</v>
      </c>
      <c r="AB57" s="578" t="s">
        <v>266</v>
      </c>
      <c r="AC57" s="546"/>
    </row>
    <row r="58" spans="1:29" s="577" customFormat="1" ht="80.099999999999994" customHeight="1" x14ac:dyDescent="0.2">
      <c r="A58" s="588" t="s">
        <v>1712</v>
      </c>
      <c r="B58" s="546" t="s">
        <v>1443</v>
      </c>
      <c r="C58" s="548" t="s">
        <v>1444</v>
      </c>
      <c r="D58" s="546" t="s">
        <v>1909</v>
      </c>
      <c r="E58" s="546" t="s">
        <v>1455</v>
      </c>
      <c r="F58" s="539" t="s">
        <v>1329</v>
      </c>
      <c r="G58" s="539" t="s">
        <v>1330</v>
      </c>
      <c r="H58" s="540" t="s">
        <v>121</v>
      </c>
      <c r="I58" s="539">
        <v>40273562000</v>
      </c>
      <c r="J58" s="540" t="s">
        <v>1338</v>
      </c>
      <c r="K58" s="556">
        <v>300000</v>
      </c>
      <c r="L58" s="591">
        <v>300000</v>
      </c>
      <c r="M58" s="546" t="s">
        <v>1456</v>
      </c>
      <c r="N58" s="591">
        <v>300000</v>
      </c>
      <c r="O58" s="545">
        <v>42856</v>
      </c>
      <c r="P58" s="545">
        <v>42917</v>
      </c>
      <c r="Q58" s="539" t="s">
        <v>1401</v>
      </c>
      <c r="R58" s="539" t="s">
        <v>114</v>
      </c>
      <c r="S58" s="629" t="s">
        <v>1340</v>
      </c>
      <c r="T58" s="539" t="s">
        <v>100</v>
      </c>
      <c r="U58" s="539" t="s">
        <v>100</v>
      </c>
      <c r="V58" s="539" t="s">
        <v>60</v>
      </c>
      <c r="W58" s="539" t="s">
        <v>100</v>
      </c>
      <c r="X58" s="539" t="s">
        <v>100</v>
      </c>
      <c r="Y58" s="539" t="s">
        <v>100</v>
      </c>
      <c r="Z58" s="539" t="s">
        <v>100</v>
      </c>
      <c r="AA58" s="546" t="s">
        <v>1377</v>
      </c>
      <c r="AB58" s="578" t="s">
        <v>266</v>
      </c>
      <c r="AC58" s="546"/>
    </row>
    <row r="59" spans="1:29" s="577" customFormat="1" ht="80.099999999999994" customHeight="1" x14ac:dyDescent="0.2">
      <c r="A59" s="588" t="s">
        <v>1713</v>
      </c>
      <c r="B59" s="538" t="s">
        <v>1457</v>
      </c>
      <c r="C59" s="549">
        <v>9214020</v>
      </c>
      <c r="D59" s="550" t="s">
        <v>1910</v>
      </c>
      <c r="E59" s="550" t="s">
        <v>1458</v>
      </c>
      <c r="F59" s="550">
        <v>876</v>
      </c>
      <c r="G59" s="551" t="s">
        <v>1363</v>
      </c>
      <c r="H59" s="552">
        <v>1</v>
      </c>
      <c r="I59" s="550">
        <v>45000000000</v>
      </c>
      <c r="J59" s="550" t="s">
        <v>1364</v>
      </c>
      <c r="K59" s="541">
        <v>643000</v>
      </c>
      <c r="L59" s="637">
        <v>643000</v>
      </c>
      <c r="M59" s="546" t="s">
        <v>1459</v>
      </c>
      <c r="N59" s="637">
        <v>643000</v>
      </c>
      <c r="O59" s="580">
        <v>42979</v>
      </c>
      <c r="P59" s="580">
        <v>43009</v>
      </c>
      <c r="Q59" s="553" t="s">
        <v>112</v>
      </c>
      <c r="R59" s="553" t="s">
        <v>115</v>
      </c>
      <c r="S59" s="543" t="s">
        <v>100</v>
      </c>
      <c r="T59" s="553" t="s">
        <v>100</v>
      </c>
      <c r="U59" s="553" t="s">
        <v>100</v>
      </c>
      <c r="V59" s="555" t="s">
        <v>1460</v>
      </c>
      <c r="W59" s="553" t="s">
        <v>90</v>
      </c>
      <c r="X59" s="555">
        <v>7717668394</v>
      </c>
      <c r="Y59" s="553" t="s">
        <v>205</v>
      </c>
      <c r="Z59" s="637">
        <v>643000</v>
      </c>
      <c r="AA59" s="553" t="s">
        <v>1461</v>
      </c>
      <c r="AB59" s="546" t="s">
        <v>205</v>
      </c>
      <c r="AC59" s="555"/>
    </row>
    <row r="60" spans="1:29" s="577" customFormat="1" ht="80.099999999999994" customHeight="1" x14ac:dyDescent="0.2">
      <c r="A60" s="588" t="s">
        <v>1714</v>
      </c>
      <c r="B60" s="592" t="s">
        <v>1462</v>
      </c>
      <c r="C60" s="593" t="s">
        <v>1463</v>
      </c>
      <c r="D60" s="581" t="s">
        <v>1911</v>
      </c>
      <c r="E60" s="581" t="s">
        <v>1464</v>
      </c>
      <c r="F60" s="581">
        <v>796</v>
      </c>
      <c r="G60" s="594" t="s">
        <v>1465</v>
      </c>
      <c r="H60" s="593">
        <v>10000</v>
      </c>
      <c r="I60" s="581">
        <v>40273562000</v>
      </c>
      <c r="J60" s="581" t="s">
        <v>1338</v>
      </c>
      <c r="K60" s="595">
        <v>246000</v>
      </c>
      <c r="L60" s="637">
        <v>246000</v>
      </c>
      <c r="M60" s="553" t="s">
        <v>1466</v>
      </c>
      <c r="N60" s="637">
        <v>246000</v>
      </c>
      <c r="O60" s="597">
        <v>42767</v>
      </c>
      <c r="P60" s="598">
        <v>42856</v>
      </c>
      <c r="Q60" s="596" t="s">
        <v>110</v>
      </c>
      <c r="R60" s="599" t="s">
        <v>114</v>
      </c>
      <c r="S60" s="629" t="s">
        <v>1340</v>
      </c>
      <c r="T60" s="553" t="s">
        <v>1351</v>
      </c>
      <c r="U60" s="553" t="s">
        <v>1351</v>
      </c>
      <c r="V60" s="553" t="s">
        <v>45</v>
      </c>
      <c r="W60" s="553" t="s">
        <v>1351</v>
      </c>
      <c r="X60" s="553" t="s">
        <v>1351</v>
      </c>
      <c r="Y60" s="553" t="s">
        <v>1351</v>
      </c>
      <c r="Z60" s="553" t="s">
        <v>1351</v>
      </c>
      <c r="AA60" s="630" t="s">
        <v>1467</v>
      </c>
      <c r="AB60" s="553" t="s">
        <v>266</v>
      </c>
      <c r="AC60" s="555"/>
    </row>
    <row r="61" spans="1:29" s="577" customFormat="1" ht="80.099999999999994" customHeight="1" x14ac:dyDescent="0.2">
      <c r="A61" s="588" t="s">
        <v>1715</v>
      </c>
      <c r="B61" s="592" t="s">
        <v>1462</v>
      </c>
      <c r="C61" s="593" t="s">
        <v>1463</v>
      </c>
      <c r="D61" s="581" t="s">
        <v>1912</v>
      </c>
      <c r="E61" s="581" t="s">
        <v>1464</v>
      </c>
      <c r="F61" s="581">
        <v>796</v>
      </c>
      <c r="G61" s="594" t="s">
        <v>1465</v>
      </c>
      <c r="H61" s="593">
        <v>20000</v>
      </c>
      <c r="I61" s="581">
        <v>40273562000</v>
      </c>
      <c r="J61" s="581" t="s">
        <v>1338</v>
      </c>
      <c r="K61" s="595">
        <v>492000</v>
      </c>
      <c r="L61" s="637">
        <v>492000</v>
      </c>
      <c r="M61" s="553" t="s">
        <v>1466</v>
      </c>
      <c r="N61" s="637">
        <v>492000</v>
      </c>
      <c r="O61" s="597">
        <v>42826</v>
      </c>
      <c r="P61" s="598">
        <v>42917</v>
      </c>
      <c r="Q61" s="596" t="s">
        <v>110</v>
      </c>
      <c r="R61" s="599" t="s">
        <v>114</v>
      </c>
      <c r="S61" s="629" t="s">
        <v>1340</v>
      </c>
      <c r="T61" s="553" t="s">
        <v>1351</v>
      </c>
      <c r="U61" s="553" t="s">
        <v>1351</v>
      </c>
      <c r="V61" s="553" t="s">
        <v>45</v>
      </c>
      <c r="W61" s="553" t="s">
        <v>1351</v>
      </c>
      <c r="X61" s="553" t="s">
        <v>1351</v>
      </c>
      <c r="Y61" s="553" t="s">
        <v>1351</v>
      </c>
      <c r="Z61" s="553" t="s">
        <v>1351</v>
      </c>
      <c r="AA61" s="630" t="s">
        <v>1467</v>
      </c>
      <c r="AB61" s="553" t="s">
        <v>266</v>
      </c>
      <c r="AC61" s="555"/>
    </row>
    <row r="62" spans="1:29" s="577" customFormat="1" ht="80.099999999999994" customHeight="1" x14ac:dyDescent="0.2">
      <c r="A62" s="588" t="s">
        <v>1716</v>
      </c>
      <c r="B62" s="592" t="s">
        <v>1462</v>
      </c>
      <c r="C62" s="593" t="s">
        <v>1463</v>
      </c>
      <c r="D62" s="581" t="s">
        <v>1913</v>
      </c>
      <c r="E62" s="581" t="s">
        <v>1464</v>
      </c>
      <c r="F62" s="581">
        <v>796</v>
      </c>
      <c r="G62" s="594" t="s">
        <v>1465</v>
      </c>
      <c r="H62" s="593">
        <v>50000</v>
      </c>
      <c r="I62" s="581">
        <v>40273562000</v>
      </c>
      <c r="J62" s="581" t="s">
        <v>1338</v>
      </c>
      <c r="K62" s="595">
        <v>1230000</v>
      </c>
      <c r="L62" s="637">
        <v>1230000</v>
      </c>
      <c r="M62" s="553" t="s">
        <v>1466</v>
      </c>
      <c r="N62" s="637">
        <v>1230000</v>
      </c>
      <c r="O62" s="597">
        <v>42979</v>
      </c>
      <c r="P62" s="598">
        <v>43070</v>
      </c>
      <c r="Q62" s="596" t="s">
        <v>110</v>
      </c>
      <c r="R62" s="599" t="s">
        <v>114</v>
      </c>
      <c r="S62" s="629" t="s">
        <v>1340</v>
      </c>
      <c r="T62" s="553" t="s">
        <v>1351</v>
      </c>
      <c r="U62" s="553" t="s">
        <v>1351</v>
      </c>
      <c r="V62" s="553" t="s">
        <v>45</v>
      </c>
      <c r="W62" s="553" t="s">
        <v>1351</v>
      </c>
      <c r="X62" s="553" t="s">
        <v>1351</v>
      </c>
      <c r="Y62" s="553" t="s">
        <v>1351</v>
      </c>
      <c r="Z62" s="553" t="s">
        <v>1351</v>
      </c>
      <c r="AA62" s="630" t="s">
        <v>1467</v>
      </c>
      <c r="AB62" s="553" t="s">
        <v>266</v>
      </c>
      <c r="AC62" s="555"/>
    </row>
    <row r="63" spans="1:29" s="577" customFormat="1" ht="80.099999999999994" customHeight="1" x14ac:dyDescent="0.2">
      <c r="A63" s="588" t="s">
        <v>1717</v>
      </c>
      <c r="B63" s="602" t="s">
        <v>1462</v>
      </c>
      <c r="C63" s="603" t="s">
        <v>1468</v>
      </c>
      <c r="D63" s="604" t="s">
        <v>1914</v>
      </c>
      <c r="E63" s="581" t="s">
        <v>1464</v>
      </c>
      <c r="F63" s="604">
        <v>796</v>
      </c>
      <c r="G63" s="605" t="s">
        <v>1465</v>
      </c>
      <c r="H63" s="606">
        <v>5000</v>
      </c>
      <c r="I63" s="604">
        <v>40273562000</v>
      </c>
      <c r="J63" s="581" t="s">
        <v>1338</v>
      </c>
      <c r="K63" s="607">
        <v>1472000</v>
      </c>
      <c r="L63" s="638">
        <v>1472000</v>
      </c>
      <c r="M63" s="553" t="s">
        <v>1466</v>
      </c>
      <c r="N63" s="638">
        <v>1472000</v>
      </c>
      <c r="O63" s="609">
        <v>42795</v>
      </c>
      <c r="P63" s="610">
        <v>42979</v>
      </c>
      <c r="Q63" s="599" t="s">
        <v>110</v>
      </c>
      <c r="R63" s="599" t="s">
        <v>114</v>
      </c>
      <c r="S63" s="629" t="s">
        <v>1340</v>
      </c>
      <c r="T63" s="553" t="s">
        <v>1351</v>
      </c>
      <c r="U63" s="553" t="s">
        <v>1351</v>
      </c>
      <c r="V63" s="553" t="s">
        <v>45</v>
      </c>
      <c r="W63" s="553" t="s">
        <v>1351</v>
      </c>
      <c r="X63" s="553" t="s">
        <v>1351</v>
      </c>
      <c r="Y63" s="553" t="s">
        <v>1351</v>
      </c>
      <c r="Z63" s="553" t="s">
        <v>1351</v>
      </c>
      <c r="AA63" s="630" t="s">
        <v>1467</v>
      </c>
      <c r="AB63" s="553" t="s">
        <v>266</v>
      </c>
      <c r="AC63" s="553"/>
    </row>
    <row r="64" spans="1:29" s="577" customFormat="1" ht="80.099999999999994" customHeight="1" x14ac:dyDescent="0.2">
      <c r="A64" s="588" t="s">
        <v>1718</v>
      </c>
      <c r="B64" s="602" t="s">
        <v>1462</v>
      </c>
      <c r="C64" s="603" t="s">
        <v>1468</v>
      </c>
      <c r="D64" s="604" t="s">
        <v>1915</v>
      </c>
      <c r="E64" s="581" t="s">
        <v>1464</v>
      </c>
      <c r="F64" s="604">
        <v>796</v>
      </c>
      <c r="G64" s="605" t="s">
        <v>1465</v>
      </c>
      <c r="H64" s="606">
        <v>13800</v>
      </c>
      <c r="I64" s="604">
        <v>40273562000</v>
      </c>
      <c r="J64" s="581" t="s">
        <v>1338</v>
      </c>
      <c r="K64" s="607">
        <v>1968600</v>
      </c>
      <c r="L64" s="638">
        <v>1968600</v>
      </c>
      <c r="M64" s="553" t="s">
        <v>1466</v>
      </c>
      <c r="N64" s="638">
        <v>1968600</v>
      </c>
      <c r="O64" s="609">
        <v>42826</v>
      </c>
      <c r="P64" s="610">
        <v>43009</v>
      </c>
      <c r="Q64" s="599" t="s">
        <v>110</v>
      </c>
      <c r="R64" s="599" t="s">
        <v>114</v>
      </c>
      <c r="S64" s="629" t="s">
        <v>1340</v>
      </c>
      <c r="T64" s="553" t="s">
        <v>1351</v>
      </c>
      <c r="U64" s="553" t="s">
        <v>1351</v>
      </c>
      <c r="V64" s="553" t="s">
        <v>45</v>
      </c>
      <c r="W64" s="553" t="s">
        <v>1351</v>
      </c>
      <c r="X64" s="553" t="s">
        <v>1351</v>
      </c>
      <c r="Y64" s="553" t="s">
        <v>1351</v>
      </c>
      <c r="Z64" s="553" t="s">
        <v>1351</v>
      </c>
      <c r="AA64" s="630" t="s">
        <v>1467</v>
      </c>
      <c r="AB64" s="553" t="s">
        <v>266</v>
      </c>
      <c r="AC64" s="553"/>
    </row>
    <row r="65" spans="1:29" s="577" customFormat="1" ht="80.099999999999994" customHeight="1" x14ac:dyDescent="0.2">
      <c r="A65" s="588" t="s">
        <v>1719</v>
      </c>
      <c r="B65" s="602" t="s">
        <v>1462</v>
      </c>
      <c r="C65" s="603" t="s">
        <v>1468</v>
      </c>
      <c r="D65" s="604" t="s">
        <v>1916</v>
      </c>
      <c r="E65" s="581" t="s">
        <v>1464</v>
      </c>
      <c r="F65" s="604">
        <v>796</v>
      </c>
      <c r="G65" s="605" t="s">
        <v>1465</v>
      </c>
      <c r="H65" s="606">
        <v>18400</v>
      </c>
      <c r="I65" s="604">
        <v>40273562000</v>
      </c>
      <c r="J65" s="581" t="s">
        <v>1338</v>
      </c>
      <c r="K65" s="607">
        <v>2624800</v>
      </c>
      <c r="L65" s="608">
        <v>2624800</v>
      </c>
      <c r="M65" s="596" t="s">
        <v>1466</v>
      </c>
      <c r="N65" s="608">
        <v>2624800</v>
      </c>
      <c r="O65" s="609">
        <v>42917</v>
      </c>
      <c r="P65" s="610">
        <v>43040</v>
      </c>
      <c r="Q65" s="599" t="s">
        <v>110</v>
      </c>
      <c r="R65" s="599" t="s">
        <v>114</v>
      </c>
      <c r="S65" s="629" t="s">
        <v>1340</v>
      </c>
      <c r="T65" s="553" t="s">
        <v>1351</v>
      </c>
      <c r="U65" s="553" t="s">
        <v>1351</v>
      </c>
      <c r="V65" s="553" t="s">
        <v>45</v>
      </c>
      <c r="W65" s="553" t="s">
        <v>1351</v>
      </c>
      <c r="X65" s="553" t="s">
        <v>1351</v>
      </c>
      <c r="Y65" s="553" t="s">
        <v>1351</v>
      </c>
      <c r="Z65" s="553" t="s">
        <v>1351</v>
      </c>
      <c r="AA65" s="630" t="s">
        <v>1467</v>
      </c>
      <c r="AB65" s="553" t="s">
        <v>266</v>
      </c>
      <c r="AC65" s="553"/>
    </row>
    <row r="66" spans="1:29" s="577" customFormat="1" ht="80.099999999999994" customHeight="1" x14ac:dyDescent="0.2">
      <c r="A66" s="588" t="s">
        <v>1720</v>
      </c>
      <c r="B66" s="602" t="s">
        <v>1462</v>
      </c>
      <c r="C66" s="603" t="s">
        <v>1468</v>
      </c>
      <c r="D66" s="604" t="s">
        <v>1917</v>
      </c>
      <c r="E66" s="581" t="s">
        <v>1464</v>
      </c>
      <c r="F66" s="604">
        <v>796</v>
      </c>
      <c r="G66" s="605" t="s">
        <v>1465</v>
      </c>
      <c r="H66" s="606">
        <v>9200</v>
      </c>
      <c r="I66" s="604">
        <v>40273562000</v>
      </c>
      <c r="J66" s="581" t="s">
        <v>1338</v>
      </c>
      <c r="K66" s="607">
        <v>1312400</v>
      </c>
      <c r="L66" s="608">
        <v>1312400</v>
      </c>
      <c r="M66" s="596" t="s">
        <v>1466</v>
      </c>
      <c r="N66" s="608">
        <v>1312400</v>
      </c>
      <c r="O66" s="609">
        <v>42979</v>
      </c>
      <c r="P66" s="610">
        <v>43070</v>
      </c>
      <c r="Q66" s="599" t="s">
        <v>110</v>
      </c>
      <c r="R66" s="599" t="s">
        <v>114</v>
      </c>
      <c r="S66" s="629" t="s">
        <v>1340</v>
      </c>
      <c r="T66" s="553" t="s">
        <v>1351</v>
      </c>
      <c r="U66" s="553" t="s">
        <v>1351</v>
      </c>
      <c r="V66" s="553" t="s">
        <v>45</v>
      </c>
      <c r="W66" s="553" t="s">
        <v>1351</v>
      </c>
      <c r="X66" s="553" t="s">
        <v>1351</v>
      </c>
      <c r="Y66" s="553" t="s">
        <v>1351</v>
      </c>
      <c r="Z66" s="553" t="s">
        <v>1351</v>
      </c>
      <c r="AA66" s="630" t="s">
        <v>1467</v>
      </c>
      <c r="AB66" s="553" t="s">
        <v>266</v>
      </c>
      <c r="AC66" s="553"/>
    </row>
    <row r="67" spans="1:29" s="577" customFormat="1" ht="80.099999999999994" customHeight="1" x14ac:dyDescent="0.2">
      <c r="A67" s="588" t="s">
        <v>1721</v>
      </c>
      <c r="B67" s="602" t="s">
        <v>1462</v>
      </c>
      <c r="C67" s="603" t="s">
        <v>1468</v>
      </c>
      <c r="D67" s="604" t="s">
        <v>1918</v>
      </c>
      <c r="E67" s="581" t="s">
        <v>1464</v>
      </c>
      <c r="F67" s="604">
        <v>796</v>
      </c>
      <c r="G67" s="605" t="s">
        <v>1465</v>
      </c>
      <c r="H67" s="606">
        <v>25000</v>
      </c>
      <c r="I67" s="604">
        <v>40273562000</v>
      </c>
      <c r="J67" s="581" t="s">
        <v>1338</v>
      </c>
      <c r="K67" s="607">
        <v>1100000</v>
      </c>
      <c r="L67" s="608">
        <v>1100000</v>
      </c>
      <c r="M67" s="596" t="s">
        <v>1466</v>
      </c>
      <c r="N67" s="608">
        <v>1100000</v>
      </c>
      <c r="O67" s="609">
        <v>42826</v>
      </c>
      <c r="P67" s="610">
        <v>43070</v>
      </c>
      <c r="Q67" s="599" t="s">
        <v>112</v>
      </c>
      <c r="R67" s="599" t="s">
        <v>115</v>
      </c>
      <c r="S67" s="547" t="s">
        <v>100</v>
      </c>
      <c r="T67" s="553" t="s">
        <v>100</v>
      </c>
      <c r="U67" s="553" t="s">
        <v>100</v>
      </c>
      <c r="V67" s="553" t="s">
        <v>45</v>
      </c>
      <c r="W67" s="553" t="s">
        <v>74</v>
      </c>
      <c r="X67" s="553">
        <v>7802144144</v>
      </c>
      <c r="Y67" s="553" t="s">
        <v>1469</v>
      </c>
      <c r="Z67" s="553">
        <v>1100000</v>
      </c>
      <c r="AA67" s="630" t="s">
        <v>1467</v>
      </c>
      <c r="AB67" s="553" t="s">
        <v>266</v>
      </c>
      <c r="AC67" s="553"/>
    </row>
    <row r="68" spans="1:29" s="577" customFormat="1" ht="80.099999999999994" customHeight="1" x14ac:dyDescent="0.2">
      <c r="A68" s="588" t="s">
        <v>1722</v>
      </c>
      <c r="B68" s="612" t="s">
        <v>1470</v>
      </c>
      <c r="C68" s="596" t="s">
        <v>1471</v>
      </c>
      <c r="D68" s="604" t="s">
        <v>1919</v>
      </c>
      <c r="E68" s="581" t="s">
        <v>1464</v>
      </c>
      <c r="F68" s="604">
        <v>796</v>
      </c>
      <c r="G68" s="605" t="s">
        <v>1465</v>
      </c>
      <c r="H68" s="613">
        <v>1520</v>
      </c>
      <c r="I68" s="604">
        <v>40273562000</v>
      </c>
      <c r="J68" s="581" t="s">
        <v>1338</v>
      </c>
      <c r="K68" s="607">
        <v>3366050</v>
      </c>
      <c r="L68" s="608">
        <v>3366050</v>
      </c>
      <c r="M68" s="596" t="s">
        <v>1466</v>
      </c>
      <c r="N68" s="608">
        <v>3366050</v>
      </c>
      <c r="O68" s="609">
        <v>42795</v>
      </c>
      <c r="P68" s="610">
        <v>42887</v>
      </c>
      <c r="Q68" s="599" t="s">
        <v>110</v>
      </c>
      <c r="R68" s="599" t="s">
        <v>114</v>
      </c>
      <c r="S68" s="629" t="s">
        <v>1340</v>
      </c>
      <c r="T68" s="553" t="s">
        <v>1351</v>
      </c>
      <c r="U68" s="553" t="s">
        <v>1351</v>
      </c>
      <c r="V68" s="553" t="s">
        <v>45</v>
      </c>
      <c r="W68" s="553" t="s">
        <v>1351</v>
      </c>
      <c r="X68" s="553" t="s">
        <v>1351</v>
      </c>
      <c r="Y68" s="553" t="s">
        <v>1351</v>
      </c>
      <c r="Z68" s="553" t="s">
        <v>1351</v>
      </c>
      <c r="AA68" s="630" t="s">
        <v>1467</v>
      </c>
      <c r="AB68" s="553" t="s">
        <v>266</v>
      </c>
      <c r="AC68" s="546"/>
    </row>
    <row r="69" spans="1:29" s="577" customFormat="1" ht="80.099999999999994" customHeight="1" x14ac:dyDescent="0.2">
      <c r="A69" s="588" t="s">
        <v>1723</v>
      </c>
      <c r="B69" s="612" t="s">
        <v>1470</v>
      </c>
      <c r="C69" s="596" t="s">
        <v>1471</v>
      </c>
      <c r="D69" s="604" t="s">
        <v>1920</v>
      </c>
      <c r="E69" s="581" t="s">
        <v>1464</v>
      </c>
      <c r="F69" s="604">
        <v>796</v>
      </c>
      <c r="G69" s="605" t="s">
        <v>1465</v>
      </c>
      <c r="H69" s="601">
        <v>2129</v>
      </c>
      <c r="I69" s="604">
        <v>40273562000</v>
      </c>
      <c r="J69" s="581" t="s">
        <v>1338</v>
      </c>
      <c r="K69" s="607">
        <v>4712470</v>
      </c>
      <c r="L69" s="608">
        <v>4712470</v>
      </c>
      <c r="M69" s="596" t="s">
        <v>1466</v>
      </c>
      <c r="N69" s="608">
        <v>4712470</v>
      </c>
      <c r="O69" s="609">
        <v>42767</v>
      </c>
      <c r="P69" s="610">
        <v>42887</v>
      </c>
      <c r="Q69" s="599" t="s">
        <v>110</v>
      </c>
      <c r="R69" s="599" t="s">
        <v>114</v>
      </c>
      <c r="S69" s="629" t="s">
        <v>1340</v>
      </c>
      <c r="T69" s="553" t="s">
        <v>1351</v>
      </c>
      <c r="U69" s="553" t="s">
        <v>1351</v>
      </c>
      <c r="V69" s="553" t="s">
        <v>45</v>
      </c>
      <c r="W69" s="553" t="s">
        <v>1351</v>
      </c>
      <c r="X69" s="553" t="s">
        <v>1351</v>
      </c>
      <c r="Y69" s="553" t="s">
        <v>1351</v>
      </c>
      <c r="Z69" s="553" t="s">
        <v>1351</v>
      </c>
      <c r="AA69" s="630" t="s">
        <v>1467</v>
      </c>
      <c r="AB69" s="553" t="s">
        <v>266</v>
      </c>
      <c r="AC69" s="546"/>
    </row>
    <row r="70" spans="1:29" s="577" customFormat="1" ht="80.099999999999994" customHeight="1" x14ac:dyDescent="0.2">
      <c r="A70" s="588" t="s">
        <v>1724</v>
      </c>
      <c r="B70" s="612" t="s">
        <v>1470</v>
      </c>
      <c r="C70" s="596" t="s">
        <v>1471</v>
      </c>
      <c r="D70" s="604" t="s">
        <v>1921</v>
      </c>
      <c r="E70" s="581" t="s">
        <v>1464</v>
      </c>
      <c r="F70" s="604">
        <v>796</v>
      </c>
      <c r="G70" s="605" t="s">
        <v>1465</v>
      </c>
      <c r="H70" s="601">
        <v>1065</v>
      </c>
      <c r="I70" s="604">
        <v>40273562000</v>
      </c>
      <c r="J70" s="581" t="s">
        <v>1338</v>
      </c>
      <c r="K70" s="607">
        <v>2356235</v>
      </c>
      <c r="L70" s="608">
        <v>2356235</v>
      </c>
      <c r="M70" s="596" t="s">
        <v>1466</v>
      </c>
      <c r="N70" s="608">
        <v>2356235</v>
      </c>
      <c r="O70" s="609">
        <v>42795</v>
      </c>
      <c r="P70" s="610">
        <v>42917</v>
      </c>
      <c r="Q70" s="599" t="s">
        <v>110</v>
      </c>
      <c r="R70" s="599" t="s">
        <v>114</v>
      </c>
      <c r="S70" s="629" t="s">
        <v>1340</v>
      </c>
      <c r="T70" s="553" t="s">
        <v>1351</v>
      </c>
      <c r="U70" s="553" t="s">
        <v>1351</v>
      </c>
      <c r="V70" s="553" t="s">
        <v>45</v>
      </c>
      <c r="W70" s="553" t="s">
        <v>1351</v>
      </c>
      <c r="X70" s="553" t="s">
        <v>1351</v>
      </c>
      <c r="Y70" s="553" t="s">
        <v>1351</v>
      </c>
      <c r="Z70" s="553" t="s">
        <v>1351</v>
      </c>
      <c r="AA70" s="630" t="s">
        <v>1467</v>
      </c>
      <c r="AB70" s="553" t="s">
        <v>266</v>
      </c>
      <c r="AC70" s="546"/>
    </row>
    <row r="71" spans="1:29" s="577" customFormat="1" ht="80.099999999999994" customHeight="1" x14ac:dyDescent="0.2">
      <c r="A71" s="588" t="s">
        <v>1725</v>
      </c>
      <c r="B71" s="612" t="s">
        <v>1470</v>
      </c>
      <c r="C71" s="596" t="s">
        <v>1471</v>
      </c>
      <c r="D71" s="604" t="s">
        <v>1922</v>
      </c>
      <c r="E71" s="581" t="s">
        <v>1464</v>
      </c>
      <c r="F71" s="604">
        <v>796</v>
      </c>
      <c r="G71" s="605" t="s">
        <v>1465</v>
      </c>
      <c r="H71" s="601">
        <v>882</v>
      </c>
      <c r="I71" s="604">
        <v>40273562000</v>
      </c>
      <c r="J71" s="581" t="s">
        <v>1338</v>
      </c>
      <c r="K71" s="607">
        <v>1952309</v>
      </c>
      <c r="L71" s="608">
        <v>1952309</v>
      </c>
      <c r="M71" s="596" t="s">
        <v>1466</v>
      </c>
      <c r="N71" s="608">
        <v>1952309</v>
      </c>
      <c r="O71" s="609">
        <v>42826</v>
      </c>
      <c r="P71" s="610">
        <v>42917</v>
      </c>
      <c r="Q71" s="599" t="s">
        <v>110</v>
      </c>
      <c r="R71" s="599" t="s">
        <v>114</v>
      </c>
      <c r="S71" s="629" t="s">
        <v>1340</v>
      </c>
      <c r="T71" s="553" t="s">
        <v>1351</v>
      </c>
      <c r="U71" s="553" t="s">
        <v>1351</v>
      </c>
      <c r="V71" s="553" t="s">
        <v>45</v>
      </c>
      <c r="W71" s="553" t="s">
        <v>1351</v>
      </c>
      <c r="X71" s="553" t="s">
        <v>1351</v>
      </c>
      <c r="Y71" s="553" t="s">
        <v>1351</v>
      </c>
      <c r="Z71" s="553" t="s">
        <v>1351</v>
      </c>
      <c r="AA71" s="630" t="s">
        <v>1467</v>
      </c>
      <c r="AB71" s="553" t="s">
        <v>266</v>
      </c>
      <c r="AC71" s="546"/>
    </row>
    <row r="72" spans="1:29" s="577" customFormat="1" ht="80.099999999999994" customHeight="1" x14ac:dyDescent="0.2">
      <c r="A72" s="588" t="s">
        <v>1726</v>
      </c>
      <c r="B72" s="612" t="s">
        <v>1470</v>
      </c>
      <c r="C72" s="596" t="s">
        <v>1471</v>
      </c>
      <c r="D72" s="604" t="s">
        <v>1923</v>
      </c>
      <c r="E72" s="581" t="s">
        <v>1464</v>
      </c>
      <c r="F72" s="604">
        <v>796</v>
      </c>
      <c r="G72" s="605" t="s">
        <v>1465</v>
      </c>
      <c r="H72" s="601">
        <v>1125</v>
      </c>
      <c r="I72" s="604">
        <v>40273562000</v>
      </c>
      <c r="J72" s="581" t="s">
        <v>1338</v>
      </c>
      <c r="K72" s="607">
        <v>2490877</v>
      </c>
      <c r="L72" s="608">
        <v>2490877</v>
      </c>
      <c r="M72" s="596" t="s">
        <v>1466</v>
      </c>
      <c r="N72" s="608">
        <v>2490877</v>
      </c>
      <c r="O72" s="609">
        <v>42856</v>
      </c>
      <c r="P72" s="610">
        <v>42948</v>
      </c>
      <c r="Q72" s="599" t="s">
        <v>110</v>
      </c>
      <c r="R72" s="599" t="s">
        <v>114</v>
      </c>
      <c r="S72" s="629" t="s">
        <v>1340</v>
      </c>
      <c r="T72" s="553" t="s">
        <v>1351</v>
      </c>
      <c r="U72" s="553" t="s">
        <v>1351</v>
      </c>
      <c r="V72" s="553" t="s">
        <v>45</v>
      </c>
      <c r="W72" s="553" t="s">
        <v>1351</v>
      </c>
      <c r="X72" s="553" t="s">
        <v>1351</v>
      </c>
      <c r="Y72" s="553" t="s">
        <v>1351</v>
      </c>
      <c r="Z72" s="553" t="s">
        <v>1351</v>
      </c>
      <c r="AA72" s="630" t="s">
        <v>1467</v>
      </c>
      <c r="AB72" s="553" t="s">
        <v>266</v>
      </c>
      <c r="AC72" s="546"/>
    </row>
    <row r="73" spans="1:29" s="577" customFormat="1" ht="80.099999999999994" customHeight="1" x14ac:dyDescent="0.2">
      <c r="A73" s="588" t="s">
        <v>1727</v>
      </c>
      <c r="B73" s="612" t="s">
        <v>1470</v>
      </c>
      <c r="C73" s="596" t="s">
        <v>1471</v>
      </c>
      <c r="D73" s="604" t="s">
        <v>1924</v>
      </c>
      <c r="E73" s="581" t="s">
        <v>1464</v>
      </c>
      <c r="F73" s="604">
        <v>796</v>
      </c>
      <c r="G73" s="605" t="s">
        <v>1465</v>
      </c>
      <c r="H73" s="601">
        <v>2220</v>
      </c>
      <c r="I73" s="604">
        <v>40273562000</v>
      </c>
      <c r="J73" s="581" t="s">
        <v>1338</v>
      </c>
      <c r="K73" s="607">
        <v>4914433</v>
      </c>
      <c r="L73" s="608">
        <v>4914433</v>
      </c>
      <c r="M73" s="596" t="s">
        <v>1466</v>
      </c>
      <c r="N73" s="608">
        <v>4914433</v>
      </c>
      <c r="O73" s="609">
        <v>42887</v>
      </c>
      <c r="P73" s="610">
        <v>42979</v>
      </c>
      <c r="Q73" s="599" t="s">
        <v>110</v>
      </c>
      <c r="R73" s="599" t="s">
        <v>114</v>
      </c>
      <c r="S73" s="600" t="s">
        <v>1340</v>
      </c>
      <c r="T73" s="596" t="s">
        <v>1351</v>
      </c>
      <c r="U73" s="596" t="s">
        <v>1351</v>
      </c>
      <c r="V73" s="596" t="s">
        <v>45</v>
      </c>
      <c r="W73" s="596" t="s">
        <v>1351</v>
      </c>
      <c r="X73" s="596" t="s">
        <v>1351</v>
      </c>
      <c r="Y73" s="596" t="s">
        <v>1351</v>
      </c>
      <c r="Z73" s="596" t="s">
        <v>1351</v>
      </c>
      <c r="AA73" s="569" t="s">
        <v>1467</v>
      </c>
      <c r="AB73" s="596" t="s">
        <v>266</v>
      </c>
      <c r="AC73" s="554"/>
    </row>
    <row r="74" spans="1:29" s="577" customFormat="1" ht="80.099999999999994" customHeight="1" x14ac:dyDescent="0.2">
      <c r="A74" s="588" t="s">
        <v>1728</v>
      </c>
      <c r="B74" s="612" t="s">
        <v>1470</v>
      </c>
      <c r="C74" s="596" t="s">
        <v>1471</v>
      </c>
      <c r="D74" s="604" t="s">
        <v>1925</v>
      </c>
      <c r="E74" s="581" t="s">
        <v>1464</v>
      </c>
      <c r="F74" s="604">
        <v>796</v>
      </c>
      <c r="G74" s="605" t="s">
        <v>1465</v>
      </c>
      <c r="H74" s="601">
        <v>4600</v>
      </c>
      <c r="I74" s="604">
        <v>40273562000</v>
      </c>
      <c r="J74" s="581" t="s">
        <v>1338</v>
      </c>
      <c r="K74" s="607">
        <v>10232792</v>
      </c>
      <c r="L74" s="608">
        <v>10232792</v>
      </c>
      <c r="M74" s="596" t="s">
        <v>1466</v>
      </c>
      <c r="N74" s="608">
        <v>10232792</v>
      </c>
      <c r="O74" s="609">
        <v>42948</v>
      </c>
      <c r="P74" s="610">
        <v>43040</v>
      </c>
      <c r="Q74" s="599" t="s">
        <v>106</v>
      </c>
      <c r="R74" s="599" t="s">
        <v>114</v>
      </c>
      <c r="S74" s="600" t="s">
        <v>1340</v>
      </c>
      <c r="T74" s="596" t="s">
        <v>1351</v>
      </c>
      <c r="U74" s="596" t="s">
        <v>1351</v>
      </c>
      <c r="V74" s="596" t="s">
        <v>45</v>
      </c>
      <c r="W74" s="596" t="s">
        <v>1351</v>
      </c>
      <c r="X74" s="596" t="s">
        <v>1351</v>
      </c>
      <c r="Y74" s="596" t="s">
        <v>1351</v>
      </c>
      <c r="Z74" s="596" t="s">
        <v>1351</v>
      </c>
      <c r="AA74" s="569" t="s">
        <v>1467</v>
      </c>
      <c r="AB74" s="596" t="s">
        <v>1472</v>
      </c>
      <c r="AC74" s="554"/>
    </row>
    <row r="75" spans="1:29" s="577" customFormat="1" ht="80.099999999999994" customHeight="1" x14ac:dyDescent="0.2">
      <c r="A75" s="588" t="s">
        <v>1729</v>
      </c>
      <c r="B75" s="612" t="s">
        <v>1470</v>
      </c>
      <c r="C75" s="596" t="s">
        <v>1471</v>
      </c>
      <c r="D75" s="604" t="s">
        <v>1926</v>
      </c>
      <c r="E75" s="581" t="s">
        <v>1464</v>
      </c>
      <c r="F75" s="604">
        <v>796</v>
      </c>
      <c r="G75" s="605" t="s">
        <v>1465</v>
      </c>
      <c r="H75" s="601">
        <v>2070</v>
      </c>
      <c r="I75" s="604">
        <v>40273562000</v>
      </c>
      <c r="J75" s="581" t="s">
        <v>1338</v>
      </c>
      <c r="K75" s="607">
        <v>4577828</v>
      </c>
      <c r="L75" s="608">
        <v>4577828</v>
      </c>
      <c r="M75" s="596" t="s">
        <v>1466</v>
      </c>
      <c r="N75" s="608">
        <v>4577828</v>
      </c>
      <c r="O75" s="609">
        <v>42887</v>
      </c>
      <c r="P75" s="610">
        <v>43009</v>
      </c>
      <c r="Q75" s="599" t="s">
        <v>110</v>
      </c>
      <c r="R75" s="599" t="s">
        <v>114</v>
      </c>
      <c r="S75" s="600" t="s">
        <v>1340</v>
      </c>
      <c r="T75" s="596" t="s">
        <v>1351</v>
      </c>
      <c r="U75" s="596" t="s">
        <v>1351</v>
      </c>
      <c r="V75" s="596" t="s">
        <v>45</v>
      </c>
      <c r="W75" s="596" t="s">
        <v>1351</v>
      </c>
      <c r="X75" s="596" t="s">
        <v>1351</v>
      </c>
      <c r="Y75" s="596" t="s">
        <v>1351</v>
      </c>
      <c r="Z75" s="596" t="s">
        <v>1351</v>
      </c>
      <c r="AA75" s="569" t="s">
        <v>1467</v>
      </c>
      <c r="AB75" s="596" t="s">
        <v>266</v>
      </c>
      <c r="AC75" s="554"/>
    </row>
    <row r="76" spans="1:29" s="577" customFormat="1" ht="80.099999999999994" customHeight="1" x14ac:dyDescent="0.2">
      <c r="A76" s="588" t="s">
        <v>1730</v>
      </c>
      <c r="B76" s="612" t="s">
        <v>1470</v>
      </c>
      <c r="C76" s="596" t="s">
        <v>1471</v>
      </c>
      <c r="D76" s="604" t="s">
        <v>1927</v>
      </c>
      <c r="E76" s="581" t="s">
        <v>1464</v>
      </c>
      <c r="F76" s="604">
        <v>796</v>
      </c>
      <c r="G76" s="605" t="s">
        <v>1465</v>
      </c>
      <c r="H76" s="601">
        <v>912</v>
      </c>
      <c r="I76" s="604">
        <v>40273562000</v>
      </c>
      <c r="J76" s="581" t="s">
        <v>1338</v>
      </c>
      <c r="K76" s="607">
        <v>2019630</v>
      </c>
      <c r="L76" s="608">
        <v>2019630</v>
      </c>
      <c r="M76" s="596" t="s">
        <v>1466</v>
      </c>
      <c r="N76" s="608">
        <v>2019630</v>
      </c>
      <c r="O76" s="609">
        <v>42856</v>
      </c>
      <c r="P76" s="610">
        <v>42948</v>
      </c>
      <c r="Q76" s="599" t="s">
        <v>110</v>
      </c>
      <c r="R76" s="599" t="s">
        <v>114</v>
      </c>
      <c r="S76" s="600" t="s">
        <v>1340</v>
      </c>
      <c r="T76" s="596" t="s">
        <v>1351</v>
      </c>
      <c r="U76" s="596" t="s">
        <v>1351</v>
      </c>
      <c r="V76" s="596" t="s">
        <v>45</v>
      </c>
      <c r="W76" s="596" t="s">
        <v>1351</v>
      </c>
      <c r="X76" s="596" t="s">
        <v>1351</v>
      </c>
      <c r="Y76" s="596" t="s">
        <v>1351</v>
      </c>
      <c r="Z76" s="596" t="s">
        <v>1351</v>
      </c>
      <c r="AA76" s="569" t="s">
        <v>1467</v>
      </c>
      <c r="AB76" s="596" t="s">
        <v>266</v>
      </c>
      <c r="AC76" s="554"/>
    </row>
    <row r="77" spans="1:29" s="577" customFormat="1" ht="80.099999999999994" customHeight="1" x14ac:dyDescent="0.2">
      <c r="A77" s="588" t="s">
        <v>1731</v>
      </c>
      <c r="B77" s="612" t="s">
        <v>1470</v>
      </c>
      <c r="C77" s="596" t="s">
        <v>1471</v>
      </c>
      <c r="D77" s="604" t="s">
        <v>1928</v>
      </c>
      <c r="E77" s="581" t="s">
        <v>1464</v>
      </c>
      <c r="F77" s="604">
        <v>796</v>
      </c>
      <c r="G77" s="605" t="s">
        <v>1465</v>
      </c>
      <c r="H77" s="601">
        <v>5100</v>
      </c>
      <c r="I77" s="604">
        <v>40273562000</v>
      </c>
      <c r="J77" s="581" t="s">
        <v>1338</v>
      </c>
      <c r="K77" s="607">
        <v>11444570</v>
      </c>
      <c r="L77" s="608">
        <v>11444570</v>
      </c>
      <c r="M77" s="596" t="s">
        <v>1466</v>
      </c>
      <c r="N77" s="608">
        <v>11444570</v>
      </c>
      <c r="O77" s="609">
        <v>42826</v>
      </c>
      <c r="P77" s="610">
        <v>42887</v>
      </c>
      <c r="Q77" s="599" t="s">
        <v>106</v>
      </c>
      <c r="R77" s="599" t="s">
        <v>114</v>
      </c>
      <c r="S77" s="600" t="s">
        <v>1340</v>
      </c>
      <c r="T77" s="596" t="s">
        <v>1351</v>
      </c>
      <c r="U77" s="596" t="s">
        <v>1351</v>
      </c>
      <c r="V77" s="596" t="s">
        <v>45</v>
      </c>
      <c r="W77" s="596" t="s">
        <v>1351</v>
      </c>
      <c r="X77" s="596" t="s">
        <v>1351</v>
      </c>
      <c r="Y77" s="596" t="s">
        <v>1351</v>
      </c>
      <c r="Z77" s="596" t="s">
        <v>1351</v>
      </c>
      <c r="AA77" s="569" t="s">
        <v>1467</v>
      </c>
      <c r="AB77" s="596" t="s">
        <v>1472</v>
      </c>
      <c r="AC77" s="554"/>
    </row>
    <row r="78" spans="1:29" s="577" customFormat="1" ht="80.099999999999994" customHeight="1" x14ac:dyDescent="0.2">
      <c r="A78" s="588" t="s">
        <v>1732</v>
      </c>
      <c r="B78" s="612" t="s">
        <v>1470</v>
      </c>
      <c r="C78" s="596" t="s">
        <v>1471</v>
      </c>
      <c r="D78" s="604" t="s">
        <v>1929</v>
      </c>
      <c r="E78" s="581" t="s">
        <v>1464</v>
      </c>
      <c r="F78" s="604">
        <v>796</v>
      </c>
      <c r="G78" s="605" t="s">
        <v>1465</v>
      </c>
      <c r="H78" s="601">
        <v>420</v>
      </c>
      <c r="I78" s="604">
        <v>40273562000</v>
      </c>
      <c r="J78" s="581" t="s">
        <v>1338</v>
      </c>
      <c r="K78" s="607">
        <v>9424940</v>
      </c>
      <c r="L78" s="608">
        <v>9424940</v>
      </c>
      <c r="M78" s="596" t="s">
        <v>1466</v>
      </c>
      <c r="N78" s="608">
        <v>9424940</v>
      </c>
      <c r="O78" s="609">
        <v>42917</v>
      </c>
      <c r="P78" s="610">
        <v>42979</v>
      </c>
      <c r="Q78" s="599" t="s">
        <v>106</v>
      </c>
      <c r="R78" s="599" t="s">
        <v>114</v>
      </c>
      <c r="S78" s="600" t="s">
        <v>1340</v>
      </c>
      <c r="T78" s="596" t="s">
        <v>1351</v>
      </c>
      <c r="U78" s="596" t="s">
        <v>1351</v>
      </c>
      <c r="V78" s="596" t="s">
        <v>45</v>
      </c>
      <c r="W78" s="596" t="s">
        <v>1351</v>
      </c>
      <c r="X78" s="596" t="s">
        <v>1351</v>
      </c>
      <c r="Y78" s="596" t="s">
        <v>1351</v>
      </c>
      <c r="Z78" s="596" t="s">
        <v>1351</v>
      </c>
      <c r="AA78" s="569" t="s">
        <v>1467</v>
      </c>
      <c r="AB78" s="596" t="s">
        <v>1472</v>
      </c>
      <c r="AC78" s="554"/>
    </row>
    <row r="79" spans="1:29" s="577" customFormat="1" ht="80.099999999999994" customHeight="1" x14ac:dyDescent="0.2">
      <c r="A79" s="588" t="s">
        <v>1733</v>
      </c>
      <c r="B79" s="612" t="s">
        <v>1470</v>
      </c>
      <c r="C79" s="596" t="s">
        <v>1471</v>
      </c>
      <c r="D79" s="604" t="s">
        <v>1930</v>
      </c>
      <c r="E79" s="581" t="s">
        <v>1464</v>
      </c>
      <c r="F79" s="604">
        <v>796</v>
      </c>
      <c r="G79" s="605" t="s">
        <v>1465</v>
      </c>
      <c r="H79" s="601">
        <v>3300</v>
      </c>
      <c r="I79" s="604">
        <v>40273562000</v>
      </c>
      <c r="J79" s="581" t="s">
        <v>1338</v>
      </c>
      <c r="K79" s="607">
        <v>7405310</v>
      </c>
      <c r="L79" s="608">
        <v>7405310</v>
      </c>
      <c r="M79" s="596" t="s">
        <v>1466</v>
      </c>
      <c r="N79" s="608">
        <v>7405310</v>
      </c>
      <c r="O79" s="609">
        <v>42767</v>
      </c>
      <c r="P79" s="610">
        <v>42856</v>
      </c>
      <c r="Q79" s="599" t="s">
        <v>106</v>
      </c>
      <c r="R79" s="599" t="s">
        <v>114</v>
      </c>
      <c r="S79" s="600" t="s">
        <v>1340</v>
      </c>
      <c r="T79" s="596" t="s">
        <v>1351</v>
      </c>
      <c r="U79" s="596" t="s">
        <v>1351</v>
      </c>
      <c r="V79" s="596" t="s">
        <v>45</v>
      </c>
      <c r="W79" s="596" t="s">
        <v>1351</v>
      </c>
      <c r="X79" s="596" t="s">
        <v>1351</v>
      </c>
      <c r="Y79" s="596" t="s">
        <v>1351</v>
      </c>
      <c r="Z79" s="596" t="s">
        <v>1351</v>
      </c>
      <c r="AA79" s="569" t="s">
        <v>1467</v>
      </c>
      <c r="AB79" s="596" t="s">
        <v>1472</v>
      </c>
      <c r="AC79" s="554"/>
    </row>
    <row r="80" spans="1:29" s="577" customFormat="1" ht="80.099999999999994" customHeight="1" x14ac:dyDescent="0.2">
      <c r="A80" s="588" t="s">
        <v>1734</v>
      </c>
      <c r="B80" s="612" t="s">
        <v>1470</v>
      </c>
      <c r="C80" s="596" t="s">
        <v>1471</v>
      </c>
      <c r="D80" s="604" t="s">
        <v>1931</v>
      </c>
      <c r="E80" s="581" t="s">
        <v>1464</v>
      </c>
      <c r="F80" s="604">
        <v>796</v>
      </c>
      <c r="G80" s="605" t="s">
        <v>1465</v>
      </c>
      <c r="H80" s="601">
        <v>570</v>
      </c>
      <c r="I80" s="604">
        <v>40273562000</v>
      </c>
      <c r="J80" s="581" t="s">
        <v>1338</v>
      </c>
      <c r="K80" s="607">
        <v>1279099</v>
      </c>
      <c r="L80" s="608">
        <v>1279099</v>
      </c>
      <c r="M80" s="596" t="s">
        <v>1466</v>
      </c>
      <c r="N80" s="608">
        <v>1279099</v>
      </c>
      <c r="O80" s="609">
        <v>42767</v>
      </c>
      <c r="P80" s="610">
        <v>42826</v>
      </c>
      <c r="Q80" s="599" t="s">
        <v>110</v>
      </c>
      <c r="R80" s="599" t="s">
        <v>114</v>
      </c>
      <c r="S80" s="600" t="s">
        <v>1340</v>
      </c>
      <c r="T80" s="596" t="s">
        <v>1351</v>
      </c>
      <c r="U80" s="596" t="s">
        <v>1351</v>
      </c>
      <c r="V80" s="596" t="s">
        <v>45</v>
      </c>
      <c r="W80" s="596" t="s">
        <v>1351</v>
      </c>
      <c r="X80" s="596" t="s">
        <v>1351</v>
      </c>
      <c r="Y80" s="596" t="s">
        <v>1351</v>
      </c>
      <c r="Z80" s="596" t="s">
        <v>1351</v>
      </c>
      <c r="AA80" s="569" t="s">
        <v>1467</v>
      </c>
      <c r="AB80" s="596" t="s">
        <v>266</v>
      </c>
      <c r="AC80" s="554"/>
    </row>
    <row r="81" spans="1:29" s="577" customFormat="1" ht="80.099999999999994" customHeight="1" x14ac:dyDescent="0.2">
      <c r="A81" s="588" t="s">
        <v>1735</v>
      </c>
      <c r="B81" s="612" t="s">
        <v>1470</v>
      </c>
      <c r="C81" s="596" t="s">
        <v>1471</v>
      </c>
      <c r="D81" s="604" t="s">
        <v>1932</v>
      </c>
      <c r="E81" s="581" t="s">
        <v>1464</v>
      </c>
      <c r="F81" s="604">
        <v>796</v>
      </c>
      <c r="G81" s="605" t="s">
        <v>1465</v>
      </c>
      <c r="H81" s="601">
        <v>517</v>
      </c>
      <c r="I81" s="604">
        <v>40273562000</v>
      </c>
      <c r="J81" s="581" t="s">
        <v>1338</v>
      </c>
      <c r="K81" s="607">
        <v>1144457</v>
      </c>
      <c r="L81" s="608">
        <v>1144457</v>
      </c>
      <c r="M81" s="596" t="s">
        <v>1466</v>
      </c>
      <c r="N81" s="608">
        <v>1144457</v>
      </c>
      <c r="O81" s="609">
        <v>42979</v>
      </c>
      <c r="P81" s="610">
        <v>43070</v>
      </c>
      <c r="Q81" s="599" t="s">
        <v>110</v>
      </c>
      <c r="R81" s="599" t="s">
        <v>114</v>
      </c>
      <c r="S81" s="600" t="s">
        <v>1340</v>
      </c>
      <c r="T81" s="596" t="s">
        <v>1351</v>
      </c>
      <c r="U81" s="596" t="s">
        <v>1351</v>
      </c>
      <c r="V81" s="596" t="s">
        <v>45</v>
      </c>
      <c r="W81" s="596" t="s">
        <v>1351</v>
      </c>
      <c r="X81" s="596" t="s">
        <v>1351</v>
      </c>
      <c r="Y81" s="596" t="s">
        <v>1351</v>
      </c>
      <c r="Z81" s="596" t="s">
        <v>1351</v>
      </c>
      <c r="AA81" s="569" t="s">
        <v>1467</v>
      </c>
      <c r="AB81" s="596" t="s">
        <v>266</v>
      </c>
      <c r="AC81" s="554"/>
    </row>
    <row r="82" spans="1:29" s="577" customFormat="1" ht="80.099999999999994" customHeight="1" x14ac:dyDescent="0.2">
      <c r="A82" s="588" t="s">
        <v>1736</v>
      </c>
      <c r="B82" s="612" t="s">
        <v>1470</v>
      </c>
      <c r="C82" s="596" t="s">
        <v>1471</v>
      </c>
      <c r="D82" s="604" t="s">
        <v>1933</v>
      </c>
      <c r="E82" s="581" t="s">
        <v>1464</v>
      </c>
      <c r="F82" s="604">
        <v>796</v>
      </c>
      <c r="G82" s="605" t="s">
        <v>1465</v>
      </c>
      <c r="H82" s="601">
        <v>576</v>
      </c>
      <c r="I82" s="604">
        <v>40273562000</v>
      </c>
      <c r="J82" s="581" t="s">
        <v>1338</v>
      </c>
      <c r="K82" s="607">
        <v>18769036.949999999</v>
      </c>
      <c r="L82" s="608">
        <v>18769036.949999999</v>
      </c>
      <c r="M82" s="596" t="s">
        <v>1466</v>
      </c>
      <c r="N82" s="608">
        <v>18769036.949999999</v>
      </c>
      <c r="O82" s="609">
        <v>42795</v>
      </c>
      <c r="P82" s="610">
        <v>42887</v>
      </c>
      <c r="Q82" s="599" t="s">
        <v>106</v>
      </c>
      <c r="R82" s="599" t="s">
        <v>114</v>
      </c>
      <c r="S82" s="600" t="s">
        <v>1340</v>
      </c>
      <c r="T82" s="596" t="s">
        <v>1351</v>
      </c>
      <c r="U82" s="596" t="s">
        <v>1351</v>
      </c>
      <c r="V82" s="596" t="s">
        <v>45</v>
      </c>
      <c r="W82" s="596" t="s">
        <v>1351</v>
      </c>
      <c r="X82" s="596" t="s">
        <v>1351</v>
      </c>
      <c r="Y82" s="596" t="s">
        <v>1351</v>
      </c>
      <c r="Z82" s="596" t="s">
        <v>1351</v>
      </c>
      <c r="AA82" s="569" t="s">
        <v>1467</v>
      </c>
      <c r="AB82" s="596" t="s">
        <v>1472</v>
      </c>
      <c r="AC82" s="554"/>
    </row>
    <row r="83" spans="1:29" s="577" customFormat="1" ht="80.099999999999994" customHeight="1" x14ac:dyDescent="0.2">
      <c r="A83" s="588" t="s">
        <v>1737</v>
      </c>
      <c r="B83" s="612" t="s">
        <v>1470</v>
      </c>
      <c r="C83" s="596" t="s">
        <v>1471</v>
      </c>
      <c r="D83" s="604" t="s">
        <v>1934</v>
      </c>
      <c r="E83" s="581" t="s">
        <v>1464</v>
      </c>
      <c r="F83" s="604">
        <v>796</v>
      </c>
      <c r="G83" s="605" t="s">
        <v>1465</v>
      </c>
      <c r="H83" s="601">
        <v>431</v>
      </c>
      <c r="I83" s="604">
        <v>40273562000</v>
      </c>
      <c r="J83" s="581" t="s">
        <v>1338</v>
      </c>
      <c r="K83" s="607">
        <v>12164877.59</v>
      </c>
      <c r="L83" s="608">
        <v>12164877.59</v>
      </c>
      <c r="M83" s="596" t="s">
        <v>1466</v>
      </c>
      <c r="N83" s="608">
        <v>12164877.59</v>
      </c>
      <c r="O83" s="609">
        <v>42795</v>
      </c>
      <c r="P83" s="610">
        <v>42887</v>
      </c>
      <c r="Q83" s="599" t="s">
        <v>106</v>
      </c>
      <c r="R83" s="599" t="s">
        <v>114</v>
      </c>
      <c r="S83" s="600" t="s">
        <v>1340</v>
      </c>
      <c r="T83" s="596" t="s">
        <v>1351</v>
      </c>
      <c r="U83" s="596" t="s">
        <v>1351</v>
      </c>
      <c r="V83" s="596" t="s">
        <v>45</v>
      </c>
      <c r="W83" s="596" t="s">
        <v>1351</v>
      </c>
      <c r="X83" s="596" t="s">
        <v>1351</v>
      </c>
      <c r="Y83" s="596" t="s">
        <v>1351</v>
      </c>
      <c r="Z83" s="596" t="s">
        <v>1351</v>
      </c>
      <c r="AA83" s="569" t="s">
        <v>1467</v>
      </c>
      <c r="AB83" s="596" t="s">
        <v>1472</v>
      </c>
      <c r="AC83" s="554"/>
    </row>
    <row r="84" spans="1:29" s="577" customFormat="1" ht="80.099999999999994" customHeight="1" x14ac:dyDescent="0.2">
      <c r="A84" s="588" t="s">
        <v>1738</v>
      </c>
      <c r="B84" s="612" t="s">
        <v>1470</v>
      </c>
      <c r="C84" s="596" t="s">
        <v>1471</v>
      </c>
      <c r="D84" s="604" t="s">
        <v>1935</v>
      </c>
      <c r="E84" s="581" t="s">
        <v>1464</v>
      </c>
      <c r="F84" s="604">
        <v>796</v>
      </c>
      <c r="G84" s="605" t="s">
        <v>1465</v>
      </c>
      <c r="H84" s="601">
        <v>137</v>
      </c>
      <c r="I84" s="604">
        <v>40273562000</v>
      </c>
      <c r="J84" s="581" t="s">
        <v>1338</v>
      </c>
      <c r="K84" s="607">
        <v>2583000</v>
      </c>
      <c r="L84" s="608">
        <v>2583000</v>
      </c>
      <c r="M84" s="596" t="s">
        <v>1466</v>
      </c>
      <c r="N84" s="608">
        <v>2583000</v>
      </c>
      <c r="O84" s="609">
        <v>42887</v>
      </c>
      <c r="P84" s="610">
        <v>42979</v>
      </c>
      <c r="Q84" s="599" t="s">
        <v>110</v>
      </c>
      <c r="R84" s="599" t="s">
        <v>114</v>
      </c>
      <c r="S84" s="600" t="s">
        <v>1340</v>
      </c>
      <c r="T84" s="596" t="s">
        <v>1351</v>
      </c>
      <c r="U84" s="596" t="s">
        <v>1351</v>
      </c>
      <c r="V84" s="596" t="s">
        <v>45</v>
      </c>
      <c r="W84" s="596" t="s">
        <v>1351</v>
      </c>
      <c r="X84" s="596" t="s">
        <v>1351</v>
      </c>
      <c r="Y84" s="596" t="s">
        <v>1351</v>
      </c>
      <c r="Z84" s="596" t="s">
        <v>1351</v>
      </c>
      <c r="AA84" s="569" t="s">
        <v>1467</v>
      </c>
      <c r="AB84" s="596" t="s">
        <v>266</v>
      </c>
      <c r="AC84" s="554"/>
    </row>
    <row r="85" spans="1:29" s="577" customFormat="1" ht="80.099999999999994" customHeight="1" x14ac:dyDescent="0.2">
      <c r="A85" s="588" t="s">
        <v>1739</v>
      </c>
      <c r="B85" s="612" t="s">
        <v>1470</v>
      </c>
      <c r="C85" s="596" t="s">
        <v>1471</v>
      </c>
      <c r="D85" s="604" t="s">
        <v>1936</v>
      </c>
      <c r="E85" s="581" t="s">
        <v>1464</v>
      </c>
      <c r="F85" s="604">
        <v>796</v>
      </c>
      <c r="G85" s="605" t="s">
        <v>1465</v>
      </c>
      <c r="H85" s="601">
        <v>244</v>
      </c>
      <c r="I85" s="604">
        <v>40273562000</v>
      </c>
      <c r="J85" s="581" t="s">
        <v>1338</v>
      </c>
      <c r="K85" s="607">
        <v>3772340</v>
      </c>
      <c r="L85" s="608">
        <v>3772340</v>
      </c>
      <c r="M85" s="596" t="s">
        <v>1466</v>
      </c>
      <c r="N85" s="608">
        <v>3772340</v>
      </c>
      <c r="O85" s="609">
        <v>42948</v>
      </c>
      <c r="P85" s="610">
        <v>43040</v>
      </c>
      <c r="Q85" s="599" t="s">
        <v>110</v>
      </c>
      <c r="R85" s="599" t="s">
        <v>114</v>
      </c>
      <c r="S85" s="600" t="s">
        <v>1340</v>
      </c>
      <c r="T85" s="596" t="s">
        <v>1351</v>
      </c>
      <c r="U85" s="596" t="s">
        <v>1351</v>
      </c>
      <c r="V85" s="596" t="s">
        <v>45</v>
      </c>
      <c r="W85" s="596" t="s">
        <v>1351</v>
      </c>
      <c r="X85" s="596" t="s">
        <v>1351</v>
      </c>
      <c r="Y85" s="596" t="s">
        <v>1351</v>
      </c>
      <c r="Z85" s="596" t="s">
        <v>1351</v>
      </c>
      <c r="AA85" s="569" t="s">
        <v>1467</v>
      </c>
      <c r="AB85" s="596" t="s">
        <v>266</v>
      </c>
      <c r="AC85" s="554"/>
    </row>
    <row r="86" spans="1:29" s="577" customFormat="1" ht="80.099999999999994" customHeight="1" x14ac:dyDescent="0.2">
      <c r="A86" s="588" t="s">
        <v>1740</v>
      </c>
      <c r="B86" s="612" t="s">
        <v>1470</v>
      </c>
      <c r="C86" s="596" t="s">
        <v>1471</v>
      </c>
      <c r="D86" s="604" t="s">
        <v>1937</v>
      </c>
      <c r="E86" s="581" t="s">
        <v>1464</v>
      </c>
      <c r="F86" s="604">
        <v>796</v>
      </c>
      <c r="G86" s="605" t="s">
        <v>1465</v>
      </c>
      <c r="H86" s="601">
        <v>160</v>
      </c>
      <c r="I86" s="604">
        <v>40273562000</v>
      </c>
      <c r="J86" s="581" t="s">
        <v>1338</v>
      </c>
      <c r="K86" s="607">
        <v>4900000</v>
      </c>
      <c r="L86" s="608">
        <v>4900000</v>
      </c>
      <c r="M86" s="596" t="s">
        <v>1466</v>
      </c>
      <c r="N86" s="608">
        <v>4900000</v>
      </c>
      <c r="O86" s="609">
        <v>43009</v>
      </c>
      <c r="P86" s="610">
        <v>43070</v>
      </c>
      <c r="Q86" s="599" t="s">
        <v>110</v>
      </c>
      <c r="R86" s="599" t="s">
        <v>114</v>
      </c>
      <c r="S86" s="600" t="s">
        <v>1340</v>
      </c>
      <c r="T86" s="596" t="s">
        <v>1351</v>
      </c>
      <c r="U86" s="596" t="s">
        <v>1351</v>
      </c>
      <c r="V86" s="596" t="s">
        <v>45</v>
      </c>
      <c r="W86" s="596" t="s">
        <v>1351</v>
      </c>
      <c r="X86" s="596" t="s">
        <v>1351</v>
      </c>
      <c r="Y86" s="596" t="s">
        <v>1351</v>
      </c>
      <c r="Z86" s="596" t="s">
        <v>1351</v>
      </c>
      <c r="AA86" s="569" t="s">
        <v>1467</v>
      </c>
      <c r="AB86" s="596" t="s">
        <v>266</v>
      </c>
      <c r="AC86" s="554"/>
    </row>
    <row r="87" spans="1:29" s="577" customFormat="1" ht="80.099999999999994" customHeight="1" x14ac:dyDescent="0.2">
      <c r="A87" s="588" t="s">
        <v>1741</v>
      </c>
      <c r="B87" s="612" t="s">
        <v>1470</v>
      </c>
      <c r="C87" s="596" t="s">
        <v>1471</v>
      </c>
      <c r="D87" s="604" t="s">
        <v>1938</v>
      </c>
      <c r="E87" s="581" t="s">
        <v>1464</v>
      </c>
      <c r="F87" s="604">
        <v>796</v>
      </c>
      <c r="G87" s="605" t="s">
        <v>1465</v>
      </c>
      <c r="H87" s="601">
        <v>350</v>
      </c>
      <c r="I87" s="604">
        <v>40273562000</v>
      </c>
      <c r="J87" s="581" t="s">
        <v>1338</v>
      </c>
      <c r="K87" s="607">
        <v>9850000</v>
      </c>
      <c r="L87" s="608">
        <v>9850000</v>
      </c>
      <c r="M87" s="596" t="s">
        <v>1466</v>
      </c>
      <c r="N87" s="608">
        <v>9850000</v>
      </c>
      <c r="O87" s="609">
        <v>42917</v>
      </c>
      <c r="P87" s="610">
        <v>43040</v>
      </c>
      <c r="Q87" s="599" t="s">
        <v>106</v>
      </c>
      <c r="R87" s="599" t="s">
        <v>114</v>
      </c>
      <c r="S87" s="600" t="s">
        <v>1340</v>
      </c>
      <c r="T87" s="596" t="s">
        <v>1351</v>
      </c>
      <c r="U87" s="596" t="s">
        <v>1351</v>
      </c>
      <c r="V87" s="596" t="s">
        <v>45</v>
      </c>
      <c r="W87" s="596" t="s">
        <v>1351</v>
      </c>
      <c r="X87" s="596" t="s">
        <v>1351</v>
      </c>
      <c r="Y87" s="596" t="s">
        <v>1351</v>
      </c>
      <c r="Z87" s="596" t="s">
        <v>1351</v>
      </c>
      <c r="AA87" s="569" t="s">
        <v>1467</v>
      </c>
      <c r="AB87" s="596" t="s">
        <v>1472</v>
      </c>
      <c r="AC87" s="554"/>
    </row>
    <row r="88" spans="1:29" s="577" customFormat="1" ht="80.099999999999994" customHeight="1" x14ac:dyDescent="0.2">
      <c r="A88" s="588" t="s">
        <v>1742</v>
      </c>
      <c r="B88" s="612" t="s">
        <v>1470</v>
      </c>
      <c r="C88" s="596" t="s">
        <v>1471</v>
      </c>
      <c r="D88" s="604" t="s">
        <v>1939</v>
      </c>
      <c r="E88" s="581" t="s">
        <v>1464</v>
      </c>
      <c r="F88" s="604">
        <v>796</v>
      </c>
      <c r="G88" s="605" t="s">
        <v>1465</v>
      </c>
      <c r="H88" s="601">
        <v>40</v>
      </c>
      <c r="I88" s="604">
        <v>40273562000</v>
      </c>
      <c r="J88" s="581" t="s">
        <v>1338</v>
      </c>
      <c r="K88" s="607">
        <v>800000</v>
      </c>
      <c r="L88" s="608">
        <v>800000</v>
      </c>
      <c r="M88" s="596" t="s">
        <v>1466</v>
      </c>
      <c r="N88" s="608">
        <v>800000</v>
      </c>
      <c r="O88" s="609">
        <v>42826</v>
      </c>
      <c r="P88" s="610">
        <v>42917</v>
      </c>
      <c r="Q88" s="599" t="s">
        <v>110</v>
      </c>
      <c r="R88" s="599" t="s">
        <v>114</v>
      </c>
      <c r="S88" s="600" t="s">
        <v>1340</v>
      </c>
      <c r="T88" s="596" t="s">
        <v>1351</v>
      </c>
      <c r="U88" s="596" t="s">
        <v>1351</v>
      </c>
      <c r="V88" s="596" t="s">
        <v>45</v>
      </c>
      <c r="W88" s="596" t="s">
        <v>1351</v>
      </c>
      <c r="X88" s="596" t="s">
        <v>1351</v>
      </c>
      <c r="Y88" s="596" t="s">
        <v>1351</v>
      </c>
      <c r="Z88" s="596" t="s">
        <v>1351</v>
      </c>
      <c r="AA88" s="569" t="s">
        <v>1467</v>
      </c>
      <c r="AB88" s="596" t="s">
        <v>266</v>
      </c>
      <c r="AC88" s="554"/>
    </row>
    <row r="89" spans="1:29" s="577" customFormat="1" ht="80.099999999999994" customHeight="1" x14ac:dyDescent="0.2">
      <c r="A89" s="588" t="s">
        <v>1743</v>
      </c>
      <c r="B89" s="612" t="s">
        <v>1470</v>
      </c>
      <c r="C89" s="596" t="s">
        <v>1471</v>
      </c>
      <c r="D89" s="604" t="s">
        <v>1940</v>
      </c>
      <c r="E89" s="581" t="s">
        <v>1464</v>
      </c>
      <c r="F89" s="604">
        <v>796</v>
      </c>
      <c r="G89" s="605" t="s">
        <v>1465</v>
      </c>
      <c r="H89" s="601">
        <v>132</v>
      </c>
      <c r="I89" s="604">
        <v>40273562000</v>
      </c>
      <c r="J89" s="581" t="s">
        <v>1338</v>
      </c>
      <c r="K89" s="607">
        <v>3703387</v>
      </c>
      <c r="L89" s="608">
        <v>3703387</v>
      </c>
      <c r="M89" s="596" t="s">
        <v>1466</v>
      </c>
      <c r="N89" s="608">
        <v>3703387</v>
      </c>
      <c r="O89" s="609">
        <v>42767</v>
      </c>
      <c r="P89" s="610">
        <v>42917</v>
      </c>
      <c r="Q89" s="599" t="s">
        <v>110</v>
      </c>
      <c r="R89" s="599" t="s">
        <v>114</v>
      </c>
      <c r="S89" s="600" t="s">
        <v>1340</v>
      </c>
      <c r="T89" s="596" t="s">
        <v>1351</v>
      </c>
      <c r="U89" s="596" t="s">
        <v>1351</v>
      </c>
      <c r="V89" s="596" t="s">
        <v>45</v>
      </c>
      <c r="W89" s="596" t="s">
        <v>1351</v>
      </c>
      <c r="X89" s="596" t="s">
        <v>1351</v>
      </c>
      <c r="Y89" s="596" t="s">
        <v>1351</v>
      </c>
      <c r="Z89" s="596" t="s">
        <v>1351</v>
      </c>
      <c r="AA89" s="569" t="s">
        <v>1467</v>
      </c>
      <c r="AB89" s="596" t="s">
        <v>266</v>
      </c>
      <c r="AC89" s="554"/>
    </row>
    <row r="90" spans="1:29" s="577" customFormat="1" ht="80.099999999999994" customHeight="1" x14ac:dyDescent="0.2">
      <c r="A90" s="588" t="s">
        <v>1744</v>
      </c>
      <c r="B90" s="612" t="s">
        <v>1470</v>
      </c>
      <c r="C90" s="596" t="s">
        <v>1471</v>
      </c>
      <c r="D90" s="604" t="s">
        <v>1941</v>
      </c>
      <c r="E90" s="581" t="s">
        <v>1464</v>
      </c>
      <c r="F90" s="604">
        <v>796</v>
      </c>
      <c r="G90" s="605" t="s">
        <v>1465</v>
      </c>
      <c r="H90" s="601">
        <v>211</v>
      </c>
      <c r="I90" s="604">
        <v>40273562000</v>
      </c>
      <c r="J90" s="581" t="s">
        <v>1338</v>
      </c>
      <c r="K90" s="607">
        <v>1939000</v>
      </c>
      <c r="L90" s="608">
        <v>1939000</v>
      </c>
      <c r="M90" s="596" t="s">
        <v>1466</v>
      </c>
      <c r="N90" s="608">
        <v>1939000</v>
      </c>
      <c r="O90" s="609">
        <v>42826</v>
      </c>
      <c r="P90" s="610">
        <v>42948</v>
      </c>
      <c r="Q90" s="599" t="s">
        <v>110</v>
      </c>
      <c r="R90" s="599" t="s">
        <v>114</v>
      </c>
      <c r="S90" s="600" t="s">
        <v>1340</v>
      </c>
      <c r="T90" s="596" t="s">
        <v>1351</v>
      </c>
      <c r="U90" s="596" t="s">
        <v>1351</v>
      </c>
      <c r="V90" s="596" t="s">
        <v>45</v>
      </c>
      <c r="W90" s="596" t="s">
        <v>1351</v>
      </c>
      <c r="X90" s="596" t="s">
        <v>1351</v>
      </c>
      <c r="Y90" s="596" t="s">
        <v>1351</v>
      </c>
      <c r="Z90" s="596" t="s">
        <v>1351</v>
      </c>
      <c r="AA90" s="569" t="s">
        <v>1467</v>
      </c>
      <c r="AB90" s="596" t="s">
        <v>266</v>
      </c>
      <c r="AC90" s="554"/>
    </row>
    <row r="91" spans="1:29" s="577" customFormat="1" ht="80.099999999999994" customHeight="1" x14ac:dyDescent="0.2">
      <c r="A91" s="588" t="s">
        <v>1745</v>
      </c>
      <c r="B91" s="612" t="s">
        <v>1470</v>
      </c>
      <c r="C91" s="596" t="s">
        <v>1471</v>
      </c>
      <c r="D91" s="604" t="s">
        <v>1942</v>
      </c>
      <c r="E91" s="581" t="s">
        <v>1464</v>
      </c>
      <c r="F91" s="604">
        <v>796</v>
      </c>
      <c r="G91" s="605" t="s">
        <v>1465</v>
      </c>
      <c r="H91" s="601">
        <v>288</v>
      </c>
      <c r="I91" s="604">
        <v>40273562000</v>
      </c>
      <c r="J91" s="581" t="s">
        <v>1338</v>
      </c>
      <c r="K91" s="607">
        <v>7582754</v>
      </c>
      <c r="L91" s="608">
        <v>7582754</v>
      </c>
      <c r="M91" s="596" t="s">
        <v>1466</v>
      </c>
      <c r="N91" s="608">
        <v>7582754</v>
      </c>
      <c r="O91" s="609">
        <v>42948</v>
      </c>
      <c r="P91" s="610">
        <v>43070</v>
      </c>
      <c r="Q91" s="599" t="s">
        <v>106</v>
      </c>
      <c r="R91" s="599" t="s">
        <v>114</v>
      </c>
      <c r="S91" s="600" t="s">
        <v>1340</v>
      </c>
      <c r="T91" s="596" t="s">
        <v>1351</v>
      </c>
      <c r="U91" s="596" t="s">
        <v>1351</v>
      </c>
      <c r="V91" s="596" t="s">
        <v>45</v>
      </c>
      <c r="W91" s="596" t="s">
        <v>1351</v>
      </c>
      <c r="X91" s="596" t="s">
        <v>1351</v>
      </c>
      <c r="Y91" s="596" t="s">
        <v>1351</v>
      </c>
      <c r="Z91" s="596" t="s">
        <v>1351</v>
      </c>
      <c r="AA91" s="569" t="s">
        <v>1467</v>
      </c>
      <c r="AB91" s="596" t="s">
        <v>1472</v>
      </c>
      <c r="AC91" s="554"/>
    </row>
    <row r="92" spans="1:29" s="577" customFormat="1" ht="80.099999999999994" customHeight="1" x14ac:dyDescent="0.2">
      <c r="A92" s="588" t="s">
        <v>1746</v>
      </c>
      <c r="B92" s="612" t="s">
        <v>1470</v>
      </c>
      <c r="C92" s="596" t="s">
        <v>1471</v>
      </c>
      <c r="D92" s="604" t="s">
        <v>1943</v>
      </c>
      <c r="E92" s="581" t="s">
        <v>1464</v>
      </c>
      <c r="F92" s="604">
        <v>796</v>
      </c>
      <c r="G92" s="605" t="s">
        <v>1465</v>
      </c>
      <c r="H92" s="601">
        <v>315</v>
      </c>
      <c r="I92" s="604">
        <v>40273562000</v>
      </c>
      <c r="J92" s="581" t="s">
        <v>1338</v>
      </c>
      <c r="K92" s="607">
        <v>20853000</v>
      </c>
      <c r="L92" s="608">
        <v>20853000</v>
      </c>
      <c r="M92" s="596" t="s">
        <v>1466</v>
      </c>
      <c r="N92" s="608">
        <v>20853000</v>
      </c>
      <c r="O92" s="609">
        <v>42948</v>
      </c>
      <c r="P92" s="610">
        <v>43070</v>
      </c>
      <c r="Q92" s="599" t="s">
        <v>106</v>
      </c>
      <c r="R92" s="599" t="s">
        <v>114</v>
      </c>
      <c r="S92" s="600" t="s">
        <v>1340</v>
      </c>
      <c r="T92" s="596" t="s">
        <v>1351</v>
      </c>
      <c r="U92" s="596" t="s">
        <v>1351</v>
      </c>
      <c r="V92" s="596" t="s">
        <v>45</v>
      </c>
      <c r="W92" s="596" t="s">
        <v>1351</v>
      </c>
      <c r="X92" s="596" t="s">
        <v>1351</v>
      </c>
      <c r="Y92" s="596" t="s">
        <v>1351</v>
      </c>
      <c r="Z92" s="596" t="s">
        <v>1351</v>
      </c>
      <c r="AA92" s="569" t="s">
        <v>1467</v>
      </c>
      <c r="AB92" s="596" t="s">
        <v>1472</v>
      </c>
      <c r="AC92" s="554"/>
    </row>
    <row r="93" spans="1:29" s="577" customFormat="1" ht="80.099999999999994" customHeight="1" x14ac:dyDescent="0.2">
      <c r="A93" s="588" t="s">
        <v>1747</v>
      </c>
      <c r="B93" s="614" t="s">
        <v>1473</v>
      </c>
      <c r="C93" s="615" t="s">
        <v>1474</v>
      </c>
      <c r="D93" s="604" t="s">
        <v>1944</v>
      </c>
      <c r="E93" s="581" t="s">
        <v>1464</v>
      </c>
      <c r="F93" s="615">
        <v>796</v>
      </c>
      <c r="G93" s="615" t="s">
        <v>1465</v>
      </c>
      <c r="H93" s="615">
        <v>333</v>
      </c>
      <c r="I93" s="604">
        <v>40273562000</v>
      </c>
      <c r="J93" s="581" t="s">
        <v>1338</v>
      </c>
      <c r="K93" s="607">
        <v>4255820</v>
      </c>
      <c r="L93" s="608">
        <v>4255820</v>
      </c>
      <c r="M93" s="596" t="s">
        <v>1466</v>
      </c>
      <c r="N93" s="608">
        <v>4255820</v>
      </c>
      <c r="O93" s="609">
        <v>42795</v>
      </c>
      <c r="P93" s="610">
        <v>42887</v>
      </c>
      <c r="Q93" s="615" t="s">
        <v>110</v>
      </c>
      <c r="R93" s="615" t="s">
        <v>114</v>
      </c>
      <c r="S93" s="600" t="s">
        <v>1340</v>
      </c>
      <c r="T93" s="615" t="s">
        <v>1351</v>
      </c>
      <c r="U93" s="615" t="s">
        <v>1351</v>
      </c>
      <c r="V93" s="596" t="s">
        <v>45</v>
      </c>
      <c r="W93" s="615" t="s">
        <v>1351</v>
      </c>
      <c r="X93" s="615" t="s">
        <v>1351</v>
      </c>
      <c r="Y93" s="615" t="s">
        <v>1351</v>
      </c>
      <c r="Z93" s="615" t="s">
        <v>1351</v>
      </c>
      <c r="AA93" s="569" t="s">
        <v>1467</v>
      </c>
      <c r="AB93" s="596" t="s">
        <v>266</v>
      </c>
      <c r="AC93" s="615"/>
    </row>
    <row r="94" spans="1:29" s="577" customFormat="1" ht="80.099999999999994" customHeight="1" x14ac:dyDescent="0.2">
      <c r="A94" s="588" t="s">
        <v>1748</v>
      </c>
      <c r="B94" s="614" t="s">
        <v>1473</v>
      </c>
      <c r="C94" s="615" t="s">
        <v>1474</v>
      </c>
      <c r="D94" s="615" t="s">
        <v>1945</v>
      </c>
      <c r="E94" s="581" t="s">
        <v>1464</v>
      </c>
      <c r="F94" s="615">
        <v>796</v>
      </c>
      <c r="G94" s="615" t="s">
        <v>1465</v>
      </c>
      <c r="H94" s="615">
        <v>244</v>
      </c>
      <c r="I94" s="604">
        <v>40273562000</v>
      </c>
      <c r="J94" s="581" t="s">
        <v>1338</v>
      </c>
      <c r="K94" s="616">
        <v>3024200</v>
      </c>
      <c r="L94" s="608">
        <v>3024200</v>
      </c>
      <c r="M94" s="596" t="s">
        <v>1466</v>
      </c>
      <c r="N94" s="608">
        <v>3024200</v>
      </c>
      <c r="O94" s="609">
        <v>42856</v>
      </c>
      <c r="P94" s="610">
        <v>42979</v>
      </c>
      <c r="Q94" s="615" t="s">
        <v>110</v>
      </c>
      <c r="R94" s="615" t="s">
        <v>114</v>
      </c>
      <c r="S94" s="600" t="s">
        <v>1340</v>
      </c>
      <c r="T94" s="615" t="s">
        <v>1351</v>
      </c>
      <c r="U94" s="615" t="s">
        <v>1351</v>
      </c>
      <c r="V94" s="596" t="s">
        <v>45</v>
      </c>
      <c r="W94" s="615" t="s">
        <v>1351</v>
      </c>
      <c r="X94" s="615" t="s">
        <v>1351</v>
      </c>
      <c r="Y94" s="615" t="s">
        <v>1351</v>
      </c>
      <c r="Z94" s="615" t="s">
        <v>1351</v>
      </c>
      <c r="AA94" s="569" t="s">
        <v>1467</v>
      </c>
      <c r="AB94" s="596" t="s">
        <v>266</v>
      </c>
      <c r="AC94" s="615"/>
    </row>
    <row r="95" spans="1:29" s="577" customFormat="1" ht="80.099999999999994" customHeight="1" x14ac:dyDescent="0.2">
      <c r="A95" s="588" t="s">
        <v>1749</v>
      </c>
      <c r="B95" s="614" t="s">
        <v>1473</v>
      </c>
      <c r="C95" s="615" t="s">
        <v>1474</v>
      </c>
      <c r="D95" s="604" t="s">
        <v>1946</v>
      </c>
      <c r="E95" s="581" t="s">
        <v>1464</v>
      </c>
      <c r="F95" s="615">
        <v>796</v>
      </c>
      <c r="G95" s="615" t="s">
        <v>1465</v>
      </c>
      <c r="H95" s="615">
        <v>23</v>
      </c>
      <c r="I95" s="604">
        <v>40273562000</v>
      </c>
      <c r="J95" s="581" t="s">
        <v>1338</v>
      </c>
      <c r="K95" s="607">
        <v>699500</v>
      </c>
      <c r="L95" s="608">
        <v>699500</v>
      </c>
      <c r="M95" s="596" t="s">
        <v>1466</v>
      </c>
      <c r="N95" s="608">
        <v>699500</v>
      </c>
      <c r="O95" s="609">
        <v>42917</v>
      </c>
      <c r="P95" s="610">
        <v>42979</v>
      </c>
      <c r="Q95" s="615" t="s">
        <v>110</v>
      </c>
      <c r="R95" s="615" t="s">
        <v>114</v>
      </c>
      <c r="S95" s="600" t="s">
        <v>1340</v>
      </c>
      <c r="T95" s="615" t="s">
        <v>1351</v>
      </c>
      <c r="U95" s="615" t="s">
        <v>1351</v>
      </c>
      <c r="V95" s="596" t="s">
        <v>45</v>
      </c>
      <c r="W95" s="615" t="s">
        <v>1351</v>
      </c>
      <c r="X95" s="615" t="s">
        <v>1351</v>
      </c>
      <c r="Y95" s="615" t="s">
        <v>1351</v>
      </c>
      <c r="Z95" s="615" t="s">
        <v>1351</v>
      </c>
      <c r="AA95" s="569" t="s">
        <v>1467</v>
      </c>
      <c r="AB95" s="596" t="s">
        <v>266</v>
      </c>
      <c r="AC95" s="615"/>
    </row>
    <row r="96" spans="1:29" s="577" customFormat="1" ht="80.099999999999994" customHeight="1" x14ac:dyDescent="0.2">
      <c r="A96" s="588" t="s">
        <v>1750</v>
      </c>
      <c r="B96" s="614" t="s">
        <v>1473</v>
      </c>
      <c r="C96" s="615" t="s">
        <v>1474</v>
      </c>
      <c r="D96" s="604" t="s">
        <v>1947</v>
      </c>
      <c r="E96" s="581" t="s">
        <v>1464</v>
      </c>
      <c r="F96" s="615">
        <v>796</v>
      </c>
      <c r="G96" s="615" t="s">
        <v>1465</v>
      </c>
      <c r="H96" s="615">
        <v>124</v>
      </c>
      <c r="I96" s="604">
        <v>40273562000</v>
      </c>
      <c r="J96" s="581" t="s">
        <v>1338</v>
      </c>
      <c r="K96" s="607">
        <v>2326000</v>
      </c>
      <c r="L96" s="608">
        <v>2326000</v>
      </c>
      <c r="M96" s="596" t="s">
        <v>1466</v>
      </c>
      <c r="N96" s="608">
        <v>2326000</v>
      </c>
      <c r="O96" s="609">
        <v>42979</v>
      </c>
      <c r="P96" s="610">
        <v>43070</v>
      </c>
      <c r="Q96" s="615" t="s">
        <v>110</v>
      </c>
      <c r="R96" s="615" t="s">
        <v>114</v>
      </c>
      <c r="S96" s="600" t="s">
        <v>1340</v>
      </c>
      <c r="T96" s="615" t="s">
        <v>1351</v>
      </c>
      <c r="U96" s="615" t="s">
        <v>1351</v>
      </c>
      <c r="V96" s="596" t="s">
        <v>45</v>
      </c>
      <c r="W96" s="615" t="s">
        <v>1351</v>
      </c>
      <c r="X96" s="615" t="s">
        <v>1351</v>
      </c>
      <c r="Y96" s="615" t="s">
        <v>1351</v>
      </c>
      <c r="Z96" s="615" t="s">
        <v>1351</v>
      </c>
      <c r="AA96" s="569" t="s">
        <v>1467</v>
      </c>
      <c r="AB96" s="596" t="s">
        <v>266</v>
      </c>
      <c r="AC96" s="615"/>
    </row>
    <row r="97" spans="1:29" s="577" customFormat="1" ht="80.099999999999994" customHeight="1" x14ac:dyDescent="0.2">
      <c r="A97" s="588" t="s">
        <v>1751</v>
      </c>
      <c r="B97" s="601" t="s">
        <v>1475</v>
      </c>
      <c r="C97" s="601" t="s">
        <v>1476</v>
      </c>
      <c r="D97" s="604" t="s">
        <v>1948</v>
      </c>
      <c r="E97" s="581" t="s">
        <v>1464</v>
      </c>
      <c r="F97" s="615">
        <v>796</v>
      </c>
      <c r="G97" s="615" t="s">
        <v>1465</v>
      </c>
      <c r="H97" s="601">
        <v>970</v>
      </c>
      <c r="I97" s="604">
        <v>40273562000</v>
      </c>
      <c r="J97" s="581" t="s">
        <v>1338</v>
      </c>
      <c r="K97" s="607">
        <v>1971311.85</v>
      </c>
      <c r="L97" s="608">
        <v>1971311.85</v>
      </c>
      <c r="M97" s="596" t="s">
        <v>1466</v>
      </c>
      <c r="N97" s="608">
        <v>1971311.85</v>
      </c>
      <c r="O97" s="609">
        <v>42767</v>
      </c>
      <c r="P97" s="610">
        <v>42856</v>
      </c>
      <c r="Q97" s="615" t="s">
        <v>110</v>
      </c>
      <c r="R97" s="615" t="s">
        <v>114</v>
      </c>
      <c r="S97" s="600" t="s">
        <v>1340</v>
      </c>
      <c r="T97" s="615" t="s">
        <v>1351</v>
      </c>
      <c r="U97" s="615" t="s">
        <v>1351</v>
      </c>
      <c r="V97" s="596" t="s">
        <v>45</v>
      </c>
      <c r="W97" s="615" t="s">
        <v>1351</v>
      </c>
      <c r="X97" s="615" t="s">
        <v>1351</v>
      </c>
      <c r="Y97" s="615" t="s">
        <v>1351</v>
      </c>
      <c r="Z97" s="615" t="s">
        <v>1351</v>
      </c>
      <c r="AA97" s="569" t="s">
        <v>1467</v>
      </c>
      <c r="AB97" s="596" t="s">
        <v>266</v>
      </c>
      <c r="AC97" s="615"/>
    </row>
    <row r="98" spans="1:29" s="577" customFormat="1" ht="80.099999999999994" customHeight="1" x14ac:dyDescent="0.2">
      <c r="A98" s="588" t="s">
        <v>1752</v>
      </c>
      <c r="B98" s="601" t="s">
        <v>1475</v>
      </c>
      <c r="C98" s="601" t="s">
        <v>1476</v>
      </c>
      <c r="D98" s="604" t="s">
        <v>1949</v>
      </c>
      <c r="E98" s="581" t="s">
        <v>1464</v>
      </c>
      <c r="F98" s="615">
        <v>796</v>
      </c>
      <c r="G98" s="615" t="s">
        <v>1465</v>
      </c>
      <c r="H98" s="601">
        <v>646</v>
      </c>
      <c r="I98" s="604">
        <v>40273562000</v>
      </c>
      <c r="J98" s="581" t="s">
        <v>1338</v>
      </c>
      <c r="K98" s="607">
        <v>1314207.8999999999</v>
      </c>
      <c r="L98" s="608">
        <v>1314207.8999999999</v>
      </c>
      <c r="M98" s="596" t="s">
        <v>1466</v>
      </c>
      <c r="N98" s="608">
        <v>1314207.8999999999</v>
      </c>
      <c r="O98" s="609">
        <v>42826</v>
      </c>
      <c r="P98" s="610">
        <v>42979</v>
      </c>
      <c r="Q98" s="615" t="s">
        <v>110</v>
      </c>
      <c r="R98" s="615" t="s">
        <v>114</v>
      </c>
      <c r="S98" s="600" t="s">
        <v>1340</v>
      </c>
      <c r="T98" s="615" t="s">
        <v>1351</v>
      </c>
      <c r="U98" s="615" t="s">
        <v>1351</v>
      </c>
      <c r="V98" s="596" t="s">
        <v>45</v>
      </c>
      <c r="W98" s="615" t="s">
        <v>1351</v>
      </c>
      <c r="X98" s="615" t="s">
        <v>1351</v>
      </c>
      <c r="Y98" s="615" t="s">
        <v>1351</v>
      </c>
      <c r="Z98" s="615" t="s">
        <v>1351</v>
      </c>
      <c r="AA98" s="569" t="s">
        <v>1467</v>
      </c>
      <c r="AB98" s="596" t="s">
        <v>266</v>
      </c>
      <c r="AC98" s="615"/>
    </row>
    <row r="99" spans="1:29" s="577" customFormat="1" ht="80.099999999999994" customHeight="1" x14ac:dyDescent="0.2">
      <c r="A99" s="588" t="s">
        <v>1753</v>
      </c>
      <c r="B99" s="601" t="s">
        <v>1475</v>
      </c>
      <c r="C99" s="601" t="s">
        <v>1476</v>
      </c>
      <c r="D99" s="604" t="s">
        <v>1950</v>
      </c>
      <c r="E99" s="581" t="s">
        <v>1464</v>
      </c>
      <c r="F99" s="615">
        <v>796</v>
      </c>
      <c r="G99" s="615" t="s">
        <v>1465</v>
      </c>
      <c r="H99" s="601">
        <v>1617</v>
      </c>
      <c r="I99" s="604">
        <v>40273562000</v>
      </c>
      <c r="J99" s="581" t="s">
        <v>1338</v>
      </c>
      <c r="K99" s="607">
        <v>3285519.75</v>
      </c>
      <c r="L99" s="608">
        <v>3285519.75</v>
      </c>
      <c r="M99" s="596" t="s">
        <v>1466</v>
      </c>
      <c r="N99" s="608">
        <v>3285519.75</v>
      </c>
      <c r="O99" s="609">
        <v>42856</v>
      </c>
      <c r="P99" s="610">
        <v>43070</v>
      </c>
      <c r="Q99" s="615" t="s">
        <v>110</v>
      </c>
      <c r="R99" s="615" t="s">
        <v>114</v>
      </c>
      <c r="S99" s="600" t="s">
        <v>1340</v>
      </c>
      <c r="T99" s="615" t="s">
        <v>1351</v>
      </c>
      <c r="U99" s="615" t="s">
        <v>1351</v>
      </c>
      <c r="V99" s="596" t="s">
        <v>45</v>
      </c>
      <c r="W99" s="615" t="s">
        <v>1351</v>
      </c>
      <c r="X99" s="615" t="s">
        <v>1351</v>
      </c>
      <c r="Y99" s="615" t="s">
        <v>1351</v>
      </c>
      <c r="Z99" s="615" t="s">
        <v>1351</v>
      </c>
      <c r="AA99" s="569" t="s">
        <v>1467</v>
      </c>
      <c r="AB99" s="596" t="s">
        <v>266</v>
      </c>
      <c r="AC99" s="615"/>
    </row>
    <row r="100" spans="1:29" s="577" customFormat="1" ht="80.099999999999994" customHeight="1" x14ac:dyDescent="0.2">
      <c r="A100" s="588" t="s">
        <v>1754</v>
      </c>
      <c r="B100" s="601" t="s">
        <v>1475</v>
      </c>
      <c r="C100" s="601" t="s">
        <v>1476</v>
      </c>
      <c r="D100" s="604" t="s">
        <v>1951</v>
      </c>
      <c r="E100" s="581" t="s">
        <v>1464</v>
      </c>
      <c r="F100" s="615">
        <v>796</v>
      </c>
      <c r="G100" s="615" t="s">
        <v>1465</v>
      </c>
      <c r="H100" s="601">
        <v>1294</v>
      </c>
      <c r="I100" s="604">
        <v>40273562000</v>
      </c>
      <c r="J100" s="581" t="s">
        <v>1338</v>
      </c>
      <c r="K100" s="607">
        <v>2628415.7999999998</v>
      </c>
      <c r="L100" s="608">
        <v>2628415.7999999998</v>
      </c>
      <c r="M100" s="596" t="s">
        <v>1466</v>
      </c>
      <c r="N100" s="608">
        <v>2628415.7999999998</v>
      </c>
      <c r="O100" s="609">
        <v>42887</v>
      </c>
      <c r="P100" s="610">
        <v>42979</v>
      </c>
      <c r="Q100" s="615" t="s">
        <v>110</v>
      </c>
      <c r="R100" s="615" t="s">
        <v>114</v>
      </c>
      <c r="S100" s="600" t="s">
        <v>1340</v>
      </c>
      <c r="T100" s="615" t="s">
        <v>1351</v>
      </c>
      <c r="U100" s="615" t="s">
        <v>1351</v>
      </c>
      <c r="V100" s="596" t="s">
        <v>45</v>
      </c>
      <c r="W100" s="615" t="s">
        <v>1351</v>
      </c>
      <c r="X100" s="615" t="s">
        <v>1351</v>
      </c>
      <c r="Y100" s="615" t="s">
        <v>1351</v>
      </c>
      <c r="Z100" s="615" t="s">
        <v>1351</v>
      </c>
      <c r="AA100" s="569" t="s">
        <v>1467</v>
      </c>
      <c r="AB100" s="596" t="s">
        <v>266</v>
      </c>
      <c r="AC100" s="615"/>
    </row>
    <row r="101" spans="1:29" s="577" customFormat="1" ht="80.099999999999994" customHeight="1" x14ac:dyDescent="0.2">
      <c r="A101" s="588" t="s">
        <v>1755</v>
      </c>
      <c r="B101" s="601" t="s">
        <v>1475</v>
      </c>
      <c r="C101" s="601" t="s">
        <v>1476</v>
      </c>
      <c r="D101" s="604" t="s">
        <v>1952</v>
      </c>
      <c r="E101" s="581" t="s">
        <v>1464</v>
      </c>
      <c r="F101" s="615">
        <v>796</v>
      </c>
      <c r="G101" s="615" t="s">
        <v>1465</v>
      </c>
      <c r="H101" s="601">
        <v>1941</v>
      </c>
      <c r="I101" s="604">
        <v>40273562000</v>
      </c>
      <c r="J101" s="581" t="s">
        <v>1338</v>
      </c>
      <c r="K101" s="607">
        <v>3942623.7</v>
      </c>
      <c r="L101" s="608">
        <v>3942623.7</v>
      </c>
      <c r="M101" s="596" t="s">
        <v>1466</v>
      </c>
      <c r="N101" s="608">
        <v>3942623.7</v>
      </c>
      <c r="O101" s="609">
        <v>42948</v>
      </c>
      <c r="P101" s="610">
        <v>43040</v>
      </c>
      <c r="Q101" s="615" t="s">
        <v>110</v>
      </c>
      <c r="R101" s="615" t="s">
        <v>114</v>
      </c>
      <c r="S101" s="600" t="s">
        <v>1340</v>
      </c>
      <c r="T101" s="615" t="s">
        <v>1351</v>
      </c>
      <c r="U101" s="615" t="s">
        <v>1351</v>
      </c>
      <c r="V101" s="596" t="s">
        <v>45</v>
      </c>
      <c r="W101" s="615" t="s">
        <v>1351</v>
      </c>
      <c r="X101" s="615" t="s">
        <v>1351</v>
      </c>
      <c r="Y101" s="615" t="s">
        <v>1351</v>
      </c>
      <c r="Z101" s="615" t="s">
        <v>1351</v>
      </c>
      <c r="AA101" s="569" t="s">
        <v>1467</v>
      </c>
      <c r="AB101" s="596" t="s">
        <v>266</v>
      </c>
      <c r="AC101" s="615"/>
    </row>
    <row r="102" spans="1:29" s="577" customFormat="1" ht="80.099999999999994" customHeight="1" x14ac:dyDescent="0.2">
      <c r="A102" s="588" t="s">
        <v>1756</v>
      </c>
      <c r="B102" s="601" t="s">
        <v>1477</v>
      </c>
      <c r="C102" s="601" t="s">
        <v>1478</v>
      </c>
      <c r="D102" s="604" t="s">
        <v>1953</v>
      </c>
      <c r="E102" s="581" t="s">
        <v>1464</v>
      </c>
      <c r="F102" s="615">
        <v>796</v>
      </c>
      <c r="G102" s="615" t="s">
        <v>1465</v>
      </c>
      <c r="H102" s="601">
        <v>504</v>
      </c>
      <c r="I102" s="604">
        <v>40273562000</v>
      </c>
      <c r="J102" s="581" t="s">
        <v>1338</v>
      </c>
      <c r="K102" s="607">
        <v>508304.3</v>
      </c>
      <c r="L102" s="650">
        <v>508304.3</v>
      </c>
      <c r="M102" s="596" t="s">
        <v>1466</v>
      </c>
      <c r="N102" s="650">
        <v>508304.3</v>
      </c>
      <c r="O102" s="609">
        <v>42767</v>
      </c>
      <c r="P102" s="610">
        <v>42856</v>
      </c>
      <c r="Q102" s="615" t="s">
        <v>110</v>
      </c>
      <c r="R102" s="615" t="s">
        <v>114</v>
      </c>
      <c r="S102" s="600" t="s">
        <v>1340</v>
      </c>
      <c r="T102" s="615" t="s">
        <v>1351</v>
      </c>
      <c r="U102" s="615" t="s">
        <v>1351</v>
      </c>
      <c r="V102" s="596" t="s">
        <v>45</v>
      </c>
      <c r="W102" s="615" t="s">
        <v>1351</v>
      </c>
      <c r="X102" s="615" t="s">
        <v>1351</v>
      </c>
      <c r="Y102" s="615" t="s">
        <v>1351</v>
      </c>
      <c r="Z102" s="615" t="s">
        <v>1351</v>
      </c>
      <c r="AA102" s="569" t="s">
        <v>1467</v>
      </c>
      <c r="AB102" s="596" t="s">
        <v>266</v>
      </c>
      <c r="AC102" s="615"/>
    </row>
    <row r="103" spans="1:29" s="577" customFormat="1" ht="80.099999999999994" customHeight="1" x14ac:dyDescent="0.2">
      <c r="A103" s="588" t="s">
        <v>1757</v>
      </c>
      <c r="B103" s="601" t="s">
        <v>1477</v>
      </c>
      <c r="C103" s="601" t="s">
        <v>1478</v>
      </c>
      <c r="D103" s="604" t="s">
        <v>1954</v>
      </c>
      <c r="E103" s="581" t="s">
        <v>1464</v>
      </c>
      <c r="F103" s="615">
        <v>796</v>
      </c>
      <c r="G103" s="615" t="s">
        <v>1465</v>
      </c>
      <c r="H103" s="601">
        <v>1251</v>
      </c>
      <c r="I103" s="604">
        <v>40273562000</v>
      </c>
      <c r="J103" s="581" t="s">
        <v>1338</v>
      </c>
      <c r="K103" s="607">
        <v>1270760.75</v>
      </c>
      <c r="L103" s="650">
        <v>1270760.75</v>
      </c>
      <c r="M103" s="596" t="s">
        <v>1466</v>
      </c>
      <c r="N103" s="650">
        <v>1270760.75</v>
      </c>
      <c r="O103" s="609">
        <v>42856</v>
      </c>
      <c r="P103" s="610">
        <v>42979</v>
      </c>
      <c r="Q103" s="615" t="s">
        <v>110</v>
      </c>
      <c r="R103" s="615" t="s">
        <v>114</v>
      </c>
      <c r="S103" s="600" t="s">
        <v>1340</v>
      </c>
      <c r="T103" s="615" t="s">
        <v>1351</v>
      </c>
      <c r="U103" s="615" t="s">
        <v>1351</v>
      </c>
      <c r="V103" s="596" t="s">
        <v>45</v>
      </c>
      <c r="W103" s="615" t="s">
        <v>1351</v>
      </c>
      <c r="X103" s="615" t="s">
        <v>1351</v>
      </c>
      <c r="Y103" s="615" t="s">
        <v>1351</v>
      </c>
      <c r="Z103" s="615" t="s">
        <v>1351</v>
      </c>
      <c r="AA103" s="569" t="s">
        <v>1467</v>
      </c>
      <c r="AB103" s="596" t="s">
        <v>266</v>
      </c>
      <c r="AC103" s="615"/>
    </row>
    <row r="104" spans="1:29" s="577" customFormat="1" ht="80.099999999999994" customHeight="1" x14ac:dyDescent="0.2">
      <c r="A104" s="588" t="s">
        <v>1758</v>
      </c>
      <c r="B104" s="601" t="s">
        <v>1477</v>
      </c>
      <c r="C104" s="601" t="s">
        <v>1478</v>
      </c>
      <c r="D104" s="604" t="s">
        <v>1955</v>
      </c>
      <c r="E104" s="581" t="s">
        <v>1464</v>
      </c>
      <c r="F104" s="615">
        <v>796</v>
      </c>
      <c r="G104" s="615" t="s">
        <v>1465</v>
      </c>
      <c r="H104" s="601">
        <v>1007</v>
      </c>
      <c r="I104" s="604">
        <v>40273562000</v>
      </c>
      <c r="J104" s="581" t="s">
        <v>1338</v>
      </c>
      <c r="K104" s="607">
        <v>1016608.6</v>
      </c>
      <c r="L104" s="650">
        <v>1016608.6</v>
      </c>
      <c r="M104" s="596" t="s">
        <v>1466</v>
      </c>
      <c r="N104" s="650">
        <v>1016608.6</v>
      </c>
      <c r="O104" s="609">
        <v>42917</v>
      </c>
      <c r="P104" s="610">
        <v>42979</v>
      </c>
      <c r="Q104" s="615" t="s">
        <v>110</v>
      </c>
      <c r="R104" s="615" t="s">
        <v>114</v>
      </c>
      <c r="S104" s="600" t="s">
        <v>1340</v>
      </c>
      <c r="T104" s="615" t="s">
        <v>1351</v>
      </c>
      <c r="U104" s="615" t="s">
        <v>1351</v>
      </c>
      <c r="V104" s="596" t="s">
        <v>45</v>
      </c>
      <c r="W104" s="615" t="s">
        <v>1351</v>
      </c>
      <c r="X104" s="615" t="s">
        <v>1351</v>
      </c>
      <c r="Y104" s="615" t="s">
        <v>1351</v>
      </c>
      <c r="Z104" s="615" t="s">
        <v>1351</v>
      </c>
      <c r="AA104" s="569" t="s">
        <v>1467</v>
      </c>
      <c r="AB104" s="596" t="s">
        <v>266</v>
      </c>
      <c r="AC104" s="615"/>
    </row>
    <row r="105" spans="1:29" s="577" customFormat="1" ht="80.099999999999994" customHeight="1" x14ac:dyDescent="0.2">
      <c r="A105" s="588" t="s">
        <v>1759</v>
      </c>
      <c r="B105" s="601" t="s">
        <v>1477</v>
      </c>
      <c r="C105" s="601" t="s">
        <v>1478</v>
      </c>
      <c r="D105" s="604" t="s">
        <v>1956</v>
      </c>
      <c r="E105" s="581" t="s">
        <v>1464</v>
      </c>
      <c r="F105" s="615">
        <v>796</v>
      </c>
      <c r="G105" s="615" t="s">
        <v>1465</v>
      </c>
      <c r="H105" s="601">
        <v>1506</v>
      </c>
      <c r="I105" s="604">
        <v>40273562000</v>
      </c>
      <c r="J105" s="581" t="s">
        <v>1338</v>
      </c>
      <c r="K105" s="607">
        <v>1524912.9</v>
      </c>
      <c r="L105" s="650">
        <v>1524912.9</v>
      </c>
      <c r="M105" s="596" t="s">
        <v>1466</v>
      </c>
      <c r="N105" s="650">
        <v>1524912.9</v>
      </c>
      <c r="O105" s="609">
        <v>42979</v>
      </c>
      <c r="P105" s="610">
        <v>43070</v>
      </c>
      <c r="Q105" s="615" t="s">
        <v>110</v>
      </c>
      <c r="R105" s="615" t="s">
        <v>114</v>
      </c>
      <c r="S105" s="600" t="s">
        <v>1340</v>
      </c>
      <c r="T105" s="615" t="s">
        <v>1351</v>
      </c>
      <c r="U105" s="615" t="s">
        <v>1351</v>
      </c>
      <c r="V105" s="596" t="s">
        <v>45</v>
      </c>
      <c r="W105" s="615" t="s">
        <v>1351</v>
      </c>
      <c r="X105" s="615" t="s">
        <v>1351</v>
      </c>
      <c r="Y105" s="615" t="s">
        <v>1351</v>
      </c>
      <c r="Z105" s="615" t="s">
        <v>1351</v>
      </c>
      <c r="AA105" s="569" t="s">
        <v>1467</v>
      </c>
      <c r="AB105" s="596" t="s">
        <v>266</v>
      </c>
      <c r="AC105" s="615"/>
    </row>
    <row r="106" spans="1:29" s="577" customFormat="1" ht="80.099999999999994" customHeight="1" x14ac:dyDescent="0.2">
      <c r="A106" s="588" t="s">
        <v>1760</v>
      </c>
      <c r="B106" s="601" t="s">
        <v>1477</v>
      </c>
      <c r="C106" s="601" t="s">
        <v>1478</v>
      </c>
      <c r="D106" s="604" t="s">
        <v>1957</v>
      </c>
      <c r="E106" s="581" t="s">
        <v>1464</v>
      </c>
      <c r="F106" s="615">
        <v>796</v>
      </c>
      <c r="G106" s="615" t="s">
        <v>1465</v>
      </c>
      <c r="H106" s="601">
        <v>752</v>
      </c>
      <c r="I106" s="604">
        <v>40273562000</v>
      </c>
      <c r="J106" s="581" t="s">
        <v>1338</v>
      </c>
      <c r="K106" s="607">
        <v>762456.45</v>
      </c>
      <c r="L106" s="650">
        <v>762456.45</v>
      </c>
      <c r="M106" s="596" t="s">
        <v>1466</v>
      </c>
      <c r="N106" s="650">
        <v>762456.45</v>
      </c>
      <c r="O106" s="609">
        <v>42795</v>
      </c>
      <c r="P106" s="610">
        <v>42887</v>
      </c>
      <c r="Q106" s="615" t="s">
        <v>110</v>
      </c>
      <c r="R106" s="615" t="s">
        <v>114</v>
      </c>
      <c r="S106" s="600" t="s">
        <v>1340</v>
      </c>
      <c r="T106" s="615" t="s">
        <v>1351</v>
      </c>
      <c r="U106" s="615" t="s">
        <v>1351</v>
      </c>
      <c r="V106" s="596" t="s">
        <v>45</v>
      </c>
      <c r="W106" s="615" t="s">
        <v>1351</v>
      </c>
      <c r="X106" s="615" t="s">
        <v>1351</v>
      </c>
      <c r="Y106" s="615" t="s">
        <v>1351</v>
      </c>
      <c r="Z106" s="615" t="s">
        <v>1351</v>
      </c>
      <c r="AA106" s="569" t="s">
        <v>1467</v>
      </c>
      <c r="AB106" s="596" t="s">
        <v>266</v>
      </c>
      <c r="AC106" s="615"/>
    </row>
    <row r="107" spans="1:29" s="577" customFormat="1" ht="80.099999999999994" customHeight="1" x14ac:dyDescent="0.2">
      <c r="A107" s="588" t="s">
        <v>1761</v>
      </c>
      <c r="B107" s="612" t="s">
        <v>1470</v>
      </c>
      <c r="C107" s="596" t="s">
        <v>1471</v>
      </c>
      <c r="D107" s="604" t="s">
        <v>1958</v>
      </c>
      <c r="E107" s="581" t="s">
        <v>1464</v>
      </c>
      <c r="F107" s="604">
        <v>796</v>
      </c>
      <c r="G107" s="605" t="s">
        <v>1465</v>
      </c>
      <c r="H107" s="601">
        <v>70</v>
      </c>
      <c r="I107" s="604">
        <v>40273562000</v>
      </c>
      <c r="J107" s="581" t="s">
        <v>1338</v>
      </c>
      <c r="K107" s="607">
        <v>2477600</v>
      </c>
      <c r="L107" s="608">
        <v>2477600</v>
      </c>
      <c r="M107" s="596" t="s">
        <v>1466</v>
      </c>
      <c r="N107" s="608">
        <v>2477600</v>
      </c>
      <c r="O107" s="609">
        <v>42767</v>
      </c>
      <c r="P107" s="610">
        <v>42887</v>
      </c>
      <c r="Q107" s="599" t="s">
        <v>112</v>
      </c>
      <c r="R107" s="599" t="s">
        <v>115</v>
      </c>
      <c r="S107" s="611" t="s">
        <v>100</v>
      </c>
      <c r="T107" s="596" t="s">
        <v>100</v>
      </c>
      <c r="U107" s="596" t="s">
        <v>100</v>
      </c>
      <c r="V107" s="554" t="s">
        <v>45</v>
      </c>
      <c r="W107" s="601" t="s">
        <v>74</v>
      </c>
      <c r="X107" s="601">
        <v>7710346180</v>
      </c>
      <c r="Y107" s="554" t="s">
        <v>1479</v>
      </c>
      <c r="Z107" s="608">
        <v>2477600</v>
      </c>
      <c r="AA107" s="569" t="s">
        <v>1467</v>
      </c>
      <c r="AB107" s="596" t="s">
        <v>266</v>
      </c>
      <c r="AC107" s="596"/>
    </row>
    <row r="108" spans="1:29" s="577" customFormat="1" ht="80.099999999999994" customHeight="1" x14ac:dyDescent="0.2">
      <c r="A108" s="588" t="s">
        <v>1762</v>
      </c>
      <c r="B108" s="612" t="s">
        <v>1470</v>
      </c>
      <c r="C108" s="596" t="s">
        <v>1471</v>
      </c>
      <c r="D108" s="604" t="s">
        <v>1959</v>
      </c>
      <c r="E108" s="581" t="s">
        <v>1464</v>
      </c>
      <c r="F108" s="604">
        <v>796</v>
      </c>
      <c r="G108" s="605" t="s">
        <v>1465</v>
      </c>
      <c r="H108" s="601">
        <v>42</v>
      </c>
      <c r="I108" s="604">
        <v>40273562000</v>
      </c>
      <c r="J108" s="581" t="s">
        <v>1338</v>
      </c>
      <c r="K108" s="607">
        <v>1441200</v>
      </c>
      <c r="L108" s="608">
        <v>1441200</v>
      </c>
      <c r="M108" s="596" t="s">
        <v>1466</v>
      </c>
      <c r="N108" s="608">
        <v>1441200</v>
      </c>
      <c r="O108" s="609">
        <v>42795</v>
      </c>
      <c r="P108" s="610">
        <v>42948</v>
      </c>
      <c r="Q108" s="599" t="s">
        <v>112</v>
      </c>
      <c r="R108" s="599" t="s">
        <v>115</v>
      </c>
      <c r="S108" s="611" t="s">
        <v>100</v>
      </c>
      <c r="T108" s="596" t="s">
        <v>100</v>
      </c>
      <c r="U108" s="596" t="s">
        <v>100</v>
      </c>
      <c r="V108" s="554" t="s">
        <v>45</v>
      </c>
      <c r="W108" s="601" t="s">
        <v>74</v>
      </c>
      <c r="X108" s="601">
        <v>7710346180</v>
      </c>
      <c r="Y108" s="554" t="s">
        <v>1479</v>
      </c>
      <c r="Z108" s="608">
        <v>1441200</v>
      </c>
      <c r="AA108" s="569" t="s">
        <v>1467</v>
      </c>
      <c r="AB108" s="596" t="s">
        <v>266</v>
      </c>
      <c r="AC108" s="596"/>
    </row>
    <row r="109" spans="1:29" s="577" customFormat="1" ht="80.099999999999994" customHeight="1" x14ac:dyDescent="0.2">
      <c r="A109" s="588" t="s">
        <v>1763</v>
      </c>
      <c r="B109" s="612" t="s">
        <v>1470</v>
      </c>
      <c r="C109" s="596" t="s">
        <v>1471</v>
      </c>
      <c r="D109" s="604" t="s">
        <v>1960</v>
      </c>
      <c r="E109" s="581" t="s">
        <v>1464</v>
      </c>
      <c r="F109" s="604">
        <v>796</v>
      </c>
      <c r="G109" s="605" t="s">
        <v>1465</v>
      </c>
      <c r="H109" s="601">
        <v>11</v>
      </c>
      <c r="I109" s="604">
        <v>40273562000</v>
      </c>
      <c r="J109" s="581" t="s">
        <v>1338</v>
      </c>
      <c r="K109" s="607">
        <v>442600</v>
      </c>
      <c r="L109" s="608">
        <v>442600</v>
      </c>
      <c r="M109" s="596" t="s">
        <v>1466</v>
      </c>
      <c r="N109" s="608">
        <v>442600</v>
      </c>
      <c r="O109" s="609">
        <v>42826</v>
      </c>
      <c r="P109" s="610">
        <v>43009</v>
      </c>
      <c r="Q109" s="599" t="s">
        <v>112</v>
      </c>
      <c r="R109" s="599" t="s">
        <v>115</v>
      </c>
      <c r="S109" s="611" t="s">
        <v>100</v>
      </c>
      <c r="T109" s="596" t="s">
        <v>100</v>
      </c>
      <c r="U109" s="596" t="s">
        <v>100</v>
      </c>
      <c r="V109" s="554" t="s">
        <v>45</v>
      </c>
      <c r="W109" s="601" t="s">
        <v>74</v>
      </c>
      <c r="X109" s="601">
        <v>7710346180</v>
      </c>
      <c r="Y109" s="554" t="s">
        <v>1479</v>
      </c>
      <c r="Z109" s="608">
        <v>442600</v>
      </c>
      <c r="AA109" s="569" t="s">
        <v>1467</v>
      </c>
      <c r="AB109" s="596" t="s">
        <v>266</v>
      </c>
      <c r="AC109" s="596"/>
    </row>
    <row r="110" spans="1:29" s="577" customFormat="1" ht="80.099999999999994" customHeight="1" x14ac:dyDescent="0.2">
      <c r="A110" s="588" t="s">
        <v>1764</v>
      </c>
      <c r="B110" s="612" t="s">
        <v>1470</v>
      </c>
      <c r="C110" s="596" t="s">
        <v>1471</v>
      </c>
      <c r="D110" s="604" t="s">
        <v>1961</v>
      </c>
      <c r="E110" s="581" t="s">
        <v>1464</v>
      </c>
      <c r="F110" s="604">
        <v>796</v>
      </c>
      <c r="G110" s="605" t="s">
        <v>1465</v>
      </c>
      <c r="H110" s="601">
        <v>105</v>
      </c>
      <c r="I110" s="604">
        <v>40273562000</v>
      </c>
      <c r="J110" s="581" t="s">
        <v>1338</v>
      </c>
      <c r="K110" s="607">
        <v>3936700</v>
      </c>
      <c r="L110" s="608">
        <v>3936700</v>
      </c>
      <c r="M110" s="596" t="s">
        <v>1466</v>
      </c>
      <c r="N110" s="608">
        <v>3936700</v>
      </c>
      <c r="O110" s="609">
        <v>42917</v>
      </c>
      <c r="P110" s="610">
        <v>43040</v>
      </c>
      <c r="Q110" s="599" t="s">
        <v>112</v>
      </c>
      <c r="R110" s="599" t="s">
        <v>115</v>
      </c>
      <c r="S110" s="611" t="s">
        <v>100</v>
      </c>
      <c r="T110" s="596" t="s">
        <v>100</v>
      </c>
      <c r="U110" s="596" t="s">
        <v>100</v>
      </c>
      <c r="V110" s="554" t="s">
        <v>45</v>
      </c>
      <c r="W110" s="601" t="s">
        <v>74</v>
      </c>
      <c r="X110" s="601">
        <v>7710346180</v>
      </c>
      <c r="Y110" s="554" t="s">
        <v>1479</v>
      </c>
      <c r="Z110" s="608">
        <v>3936700</v>
      </c>
      <c r="AA110" s="569" t="s">
        <v>1467</v>
      </c>
      <c r="AB110" s="596" t="s">
        <v>266</v>
      </c>
      <c r="AC110" s="596"/>
    </row>
    <row r="111" spans="1:29" s="577" customFormat="1" ht="80.099999999999994" customHeight="1" x14ac:dyDescent="0.2">
      <c r="A111" s="588" t="s">
        <v>1765</v>
      </c>
      <c r="B111" s="612" t="s">
        <v>1470</v>
      </c>
      <c r="C111" s="596" t="s">
        <v>1471</v>
      </c>
      <c r="D111" s="604" t="s">
        <v>1962</v>
      </c>
      <c r="E111" s="581" t="s">
        <v>1464</v>
      </c>
      <c r="F111" s="604">
        <v>796</v>
      </c>
      <c r="G111" s="605" t="s">
        <v>1465</v>
      </c>
      <c r="H111" s="601">
        <v>49</v>
      </c>
      <c r="I111" s="604">
        <v>40273562000</v>
      </c>
      <c r="J111" s="581" t="s">
        <v>1338</v>
      </c>
      <c r="K111" s="607">
        <v>2235000</v>
      </c>
      <c r="L111" s="608">
        <v>2235000</v>
      </c>
      <c r="M111" s="596" t="s">
        <v>1466</v>
      </c>
      <c r="N111" s="608">
        <v>2235000</v>
      </c>
      <c r="O111" s="609">
        <v>42948</v>
      </c>
      <c r="P111" s="610">
        <v>43070</v>
      </c>
      <c r="Q111" s="599" t="s">
        <v>112</v>
      </c>
      <c r="R111" s="599" t="s">
        <v>115</v>
      </c>
      <c r="S111" s="611" t="s">
        <v>100</v>
      </c>
      <c r="T111" s="596" t="s">
        <v>100</v>
      </c>
      <c r="U111" s="596" t="s">
        <v>100</v>
      </c>
      <c r="V111" s="554" t="s">
        <v>45</v>
      </c>
      <c r="W111" s="601" t="s">
        <v>74</v>
      </c>
      <c r="X111" s="601">
        <v>7710346180</v>
      </c>
      <c r="Y111" s="554" t="s">
        <v>1479</v>
      </c>
      <c r="Z111" s="608">
        <v>2235000</v>
      </c>
      <c r="AA111" s="569" t="s">
        <v>1467</v>
      </c>
      <c r="AB111" s="596" t="s">
        <v>266</v>
      </c>
      <c r="AC111" s="596"/>
    </row>
    <row r="112" spans="1:29" s="577" customFormat="1" ht="80.099999999999994" customHeight="1" x14ac:dyDescent="0.2">
      <c r="A112" s="588" t="s">
        <v>1766</v>
      </c>
      <c r="B112" s="612" t="s">
        <v>1470</v>
      </c>
      <c r="C112" s="596" t="s">
        <v>1471</v>
      </c>
      <c r="D112" s="604" t="s">
        <v>1963</v>
      </c>
      <c r="E112" s="581" t="s">
        <v>1464</v>
      </c>
      <c r="F112" s="604">
        <v>796</v>
      </c>
      <c r="G112" s="605" t="s">
        <v>1465</v>
      </c>
      <c r="H112" s="601">
        <v>6</v>
      </c>
      <c r="I112" s="604">
        <v>40273562000</v>
      </c>
      <c r="J112" s="581" t="s">
        <v>1338</v>
      </c>
      <c r="K112" s="607">
        <v>287950</v>
      </c>
      <c r="L112" s="608">
        <v>287950</v>
      </c>
      <c r="M112" s="596" t="s">
        <v>1466</v>
      </c>
      <c r="N112" s="608">
        <v>287950</v>
      </c>
      <c r="O112" s="609">
        <v>42795</v>
      </c>
      <c r="P112" s="610">
        <v>42917</v>
      </c>
      <c r="Q112" s="599" t="s">
        <v>112</v>
      </c>
      <c r="R112" s="599" t="s">
        <v>115</v>
      </c>
      <c r="S112" s="611" t="s">
        <v>100</v>
      </c>
      <c r="T112" s="596" t="s">
        <v>100</v>
      </c>
      <c r="U112" s="596" t="s">
        <v>100</v>
      </c>
      <c r="V112" s="554" t="s">
        <v>45</v>
      </c>
      <c r="W112" s="601" t="s">
        <v>74</v>
      </c>
      <c r="X112" s="601">
        <v>5321095589</v>
      </c>
      <c r="Y112" s="554" t="s">
        <v>1480</v>
      </c>
      <c r="Z112" s="608">
        <v>287950</v>
      </c>
      <c r="AA112" s="569" t="s">
        <v>1467</v>
      </c>
      <c r="AB112" s="596" t="s">
        <v>266</v>
      </c>
      <c r="AC112" s="596"/>
    </row>
    <row r="113" spans="1:29" s="577" customFormat="1" ht="80.099999999999994" customHeight="1" x14ac:dyDescent="0.2">
      <c r="A113" s="588" t="s">
        <v>1767</v>
      </c>
      <c r="B113" s="612" t="s">
        <v>1470</v>
      </c>
      <c r="C113" s="596" t="s">
        <v>1471</v>
      </c>
      <c r="D113" s="604" t="s">
        <v>1964</v>
      </c>
      <c r="E113" s="581" t="s">
        <v>1464</v>
      </c>
      <c r="F113" s="604">
        <v>796</v>
      </c>
      <c r="G113" s="605" t="s">
        <v>1465</v>
      </c>
      <c r="H113" s="601">
        <v>16</v>
      </c>
      <c r="I113" s="604">
        <v>40273562000</v>
      </c>
      <c r="J113" s="581" t="s">
        <v>1338</v>
      </c>
      <c r="K113" s="607">
        <v>767826</v>
      </c>
      <c r="L113" s="608">
        <v>767826</v>
      </c>
      <c r="M113" s="596" t="s">
        <v>1466</v>
      </c>
      <c r="N113" s="608">
        <v>767826</v>
      </c>
      <c r="O113" s="609">
        <v>42856</v>
      </c>
      <c r="P113" s="610">
        <v>43040</v>
      </c>
      <c r="Q113" s="599" t="s">
        <v>112</v>
      </c>
      <c r="R113" s="599" t="s">
        <v>115</v>
      </c>
      <c r="S113" s="611" t="s">
        <v>100</v>
      </c>
      <c r="T113" s="596" t="s">
        <v>100</v>
      </c>
      <c r="U113" s="596" t="s">
        <v>100</v>
      </c>
      <c r="V113" s="554" t="s">
        <v>45</v>
      </c>
      <c r="W113" s="601" t="s">
        <v>74</v>
      </c>
      <c r="X113" s="601">
        <v>5321095589</v>
      </c>
      <c r="Y113" s="554" t="s">
        <v>1480</v>
      </c>
      <c r="Z113" s="608">
        <v>767826</v>
      </c>
      <c r="AA113" s="569" t="s">
        <v>1467</v>
      </c>
      <c r="AB113" s="596" t="s">
        <v>266</v>
      </c>
      <c r="AC113" s="596"/>
    </row>
    <row r="114" spans="1:29" s="577" customFormat="1" ht="80.099999999999994" customHeight="1" x14ac:dyDescent="0.2">
      <c r="A114" s="588" t="s">
        <v>1768</v>
      </c>
      <c r="B114" s="601" t="s">
        <v>1475</v>
      </c>
      <c r="C114" s="601" t="s">
        <v>1476</v>
      </c>
      <c r="D114" s="604" t="s">
        <v>1965</v>
      </c>
      <c r="E114" s="581" t="s">
        <v>1464</v>
      </c>
      <c r="F114" s="615">
        <v>796</v>
      </c>
      <c r="G114" s="615" t="s">
        <v>1465</v>
      </c>
      <c r="H114" s="601">
        <v>250</v>
      </c>
      <c r="I114" s="604">
        <v>40273562000</v>
      </c>
      <c r="J114" s="581" t="s">
        <v>1338</v>
      </c>
      <c r="K114" s="607">
        <v>219500</v>
      </c>
      <c r="L114" s="608">
        <v>219500</v>
      </c>
      <c r="M114" s="596" t="s">
        <v>1466</v>
      </c>
      <c r="N114" s="608">
        <v>219500</v>
      </c>
      <c r="O114" s="609">
        <v>42826</v>
      </c>
      <c r="P114" s="610">
        <v>42887</v>
      </c>
      <c r="Q114" s="599" t="s">
        <v>112</v>
      </c>
      <c r="R114" s="599" t="s">
        <v>115</v>
      </c>
      <c r="S114" s="611" t="s">
        <v>100</v>
      </c>
      <c r="T114" s="596" t="s">
        <v>100</v>
      </c>
      <c r="U114" s="596" t="s">
        <v>100</v>
      </c>
      <c r="V114" s="554" t="s">
        <v>45</v>
      </c>
      <c r="W114" s="601" t="s">
        <v>74</v>
      </c>
      <c r="X114" s="601">
        <v>2607000333</v>
      </c>
      <c r="Y114" s="554" t="s">
        <v>1481</v>
      </c>
      <c r="Z114" s="608">
        <v>219500</v>
      </c>
      <c r="AA114" s="569" t="s">
        <v>1467</v>
      </c>
      <c r="AB114" s="596" t="s">
        <v>266</v>
      </c>
      <c r="AC114" s="596"/>
    </row>
    <row r="115" spans="1:29" s="577" customFormat="1" ht="80.099999999999994" customHeight="1" x14ac:dyDescent="0.2">
      <c r="A115" s="588" t="s">
        <v>1769</v>
      </c>
      <c r="B115" s="614" t="s">
        <v>1473</v>
      </c>
      <c r="C115" s="615" t="s">
        <v>1474</v>
      </c>
      <c r="D115" s="604" t="s">
        <v>1966</v>
      </c>
      <c r="E115" s="581" t="s">
        <v>1464</v>
      </c>
      <c r="F115" s="615">
        <v>796</v>
      </c>
      <c r="G115" s="615" t="s">
        <v>1465</v>
      </c>
      <c r="H115" s="615">
        <v>338</v>
      </c>
      <c r="I115" s="604">
        <v>40273562000</v>
      </c>
      <c r="J115" s="581" t="s">
        <v>1338</v>
      </c>
      <c r="K115" s="607">
        <v>4228300</v>
      </c>
      <c r="L115" s="608">
        <v>4228300</v>
      </c>
      <c r="M115" s="596" t="s">
        <v>1466</v>
      </c>
      <c r="N115" s="608">
        <v>4228300</v>
      </c>
      <c r="O115" s="609">
        <v>42826</v>
      </c>
      <c r="P115" s="610">
        <v>42917</v>
      </c>
      <c r="Q115" s="599" t="s">
        <v>112</v>
      </c>
      <c r="R115" s="599" t="s">
        <v>115</v>
      </c>
      <c r="S115" s="611" t="s">
        <v>100</v>
      </c>
      <c r="T115" s="596" t="s">
        <v>100</v>
      </c>
      <c r="U115" s="596" t="s">
        <v>100</v>
      </c>
      <c r="V115" s="554" t="s">
        <v>45</v>
      </c>
      <c r="W115" s="601" t="s">
        <v>74</v>
      </c>
      <c r="X115" s="601">
        <v>7718016680</v>
      </c>
      <c r="Y115" s="554" t="s">
        <v>1482</v>
      </c>
      <c r="Z115" s="617">
        <v>4228300</v>
      </c>
      <c r="AA115" s="569" t="s">
        <v>1467</v>
      </c>
      <c r="AB115" s="596" t="s">
        <v>266</v>
      </c>
      <c r="AC115" s="615"/>
    </row>
    <row r="116" spans="1:29" s="577" customFormat="1" ht="80.099999999999994" customHeight="1" x14ac:dyDescent="0.2">
      <c r="A116" s="588" t="s">
        <v>1770</v>
      </c>
      <c r="B116" s="614" t="s">
        <v>1473</v>
      </c>
      <c r="C116" s="615" t="s">
        <v>1474</v>
      </c>
      <c r="D116" s="604" t="s">
        <v>1967</v>
      </c>
      <c r="E116" s="581" t="s">
        <v>1464</v>
      </c>
      <c r="F116" s="615">
        <v>796</v>
      </c>
      <c r="G116" s="615" t="s">
        <v>1465</v>
      </c>
      <c r="H116" s="615">
        <v>19</v>
      </c>
      <c r="I116" s="604">
        <v>40273562000</v>
      </c>
      <c r="J116" s="581" t="s">
        <v>1338</v>
      </c>
      <c r="K116" s="607">
        <v>452093</v>
      </c>
      <c r="L116" s="608">
        <v>452093</v>
      </c>
      <c r="M116" s="596" t="s">
        <v>1466</v>
      </c>
      <c r="N116" s="608">
        <v>452093</v>
      </c>
      <c r="O116" s="609">
        <v>42856</v>
      </c>
      <c r="P116" s="610">
        <v>43009</v>
      </c>
      <c r="Q116" s="599" t="s">
        <v>112</v>
      </c>
      <c r="R116" s="599" t="s">
        <v>115</v>
      </c>
      <c r="S116" s="611" t="s">
        <v>100</v>
      </c>
      <c r="T116" s="596" t="s">
        <v>100</v>
      </c>
      <c r="U116" s="596" t="s">
        <v>100</v>
      </c>
      <c r="V116" s="554" t="s">
        <v>45</v>
      </c>
      <c r="W116" s="601" t="s">
        <v>74</v>
      </c>
      <c r="X116" s="601">
        <v>7801016421</v>
      </c>
      <c r="Y116" s="554" t="s">
        <v>1483</v>
      </c>
      <c r="Z116" s="608">
        <v>452093</v>
      </c>
      <c r="AA116" s="569" t="s">
        <v>1467</v>
      </c>
      <c r="AB116" s="596" t="s">
        <v>266</v>
      </c>
      <c r="AC116" s="615"/>
    </row>
    <row r="117" spans="1:29" s="577" customFormat="1" ht="80.099999999999994" customHeight="1" x14ac:dyDescent="0.2">
      <c r="A117" s="588" t="s">
        <v>1771</v>
      </c>
      <c r="B117" s="601" t="s">
        <v>1475</v>
      </c>
      <c r="C117" s="601" t="s">
        <v>1476</v>
      </c>
      <c r="D117" s="604" t="s">
        <v>1968</v>
      </c>
      <c r="E117" s="581" t="s">
        <v>1464</v>
      </c>
      <c r="F117" s="615">
        <v>796</v>
      </c>
      <c r="G117" s="615" t="s">
        <v>1465</v>
      </c>
      <c r="H117" s="601">
        <v>400</v>
      </c>
      <c r="I117" s="604">
        <v>40273562000</v>
      </c>
      <c r="J117" s="581" t="s">
        <v>1338</v>
      </c>
      <c r="K117" s="607">
        <v>2169700</v>
      </c>
      <c r="L117" s="608">
        <v>2169700</v>
      </c>
      <c r="M117" s="596" t="s">
        <v>1466</v>
      </c>
      <c r="N117" s="608">
        <v>2169700</v>
      </c>
      <c r="O117" s="609">
        <v>42826</v>
      </c>
      <c r="P117" s="610">
        <v>42948</v>
      </c>
      <c r="Q117" s="599" t="s">
        <v>112</v>
      </c>
      <c r="R117" s="599" t="s">
        <v>115</v>
      </c>
      <c r="S117" s="611" t="s">
        <v>100</v>
      </c>
      <c r="T117" s="596" t="s">
        <v>100</v>
      </c>
      <c r="U117" s="596" t="s">
        <v>100</v>
      </c>
      <c r="V117" s="554" t="s">
        <v>45</v>
      </c>
      <c r="W117" s="601" t="s">
        <v>74</v>
      </c>
      <c r="X117" s="601">
        <v>6666003380</v>
      </c>
      <c r="Y117" s="554" t="s">
        <v>1484</v>
      </c>
      <c r="Z117" s="617">
        <v>2169700</v>
      </c>
      <c r="AA117" s="569" t="s">
        <v>1467</v>
      </c>
      <c r="AB117" s="596" t="s">
        <v>266</v>
      </c>
      <c r="AC117" s="615"/>
    </row>
    <row r="118" spans="1:29" s="577" customFormat="1" ht="80.099999999999994" customHeight="1" x14ac:dyDescent="0.2">
      <c r="A118" s="588" t="s">
        <v>1772</v>
      </c>
      <c r="B118" s="601" t="s">
        <v>1475</v>
      </c>
      <c r="C118" s="601" t="s">
        <v>1476</v>
      </c>
      <c r="D118" s="604" t="s">
        <v>1969</v>
      </c>
      <c r="E118" s="581" t="s">
        <v>1464</v>
      </c>
      <c r="F118" s="615">
        <v>796</v>
      </c>
      <c r="G118" s="615" t="s">
        <v>1465</v>
      </c>
      <c r="H118" s="601">
        <v>229</v>
      </c>
      <c r="I118" s="604">
        <v>40273562000</v>
      </c>
      <c r="J118" s="581" t="s">
        <v>1338</v>
      </c>
      <c r="K118" s="607">
        <v>1242509</v>
      </c>
      <c r="L118" s="608">
        <v>1242509</v>
      </c>
      <c r="M118" s="596" t="s">
        <v>1466</v>
      </c>
      <c r="N118" s="608">
        <v>1242509</v>
      </c>
      <c r="O118" s="609">
        <v>42887</v>
      </c>
      <c r="P118" s="610">
        <v>43009</v>
      </c>
      <c r="Q118" s="599" t="s">
        <v>112</v>
      </c>
      <c r="R118" s="599" t="s">
        <v>115</v>
      </c>
      <c r="S118" s="611" t="s">
        <v>100</v>
      </c>
      <c r="T118" s="596" t="s">
        <v>100</v>
      </c>
      <c r="U118" s="596" t="s">
        <v>100</v>
      </c>
      <c r="V118" s="554" t="s">
        <v>45</v>
      </c>
      <c r="W118" s="601" t="s">
        <v>74</v>
      </c>
      <c r="X118" s="601">
        <v>6666003380</v>
      </c>
      <c r="Y118" s="554" t="s">
        <v>1484</v>
      </c>
      <c r="Z118" s="608">
        <v>1242509</v>
      </c>
      <c r="AA118" s="569" t="s">
        <v>1467</v>
      </c>
      <c r="AB118" s="596" t="s">
        <v>266</v>
      </c>
      <c r="AC118" s="615"/>
    </row>
    <row r="119" spans="1:29" s="577" customFormat="1" ht="80.099999999999994" customHeight="1" x14ac:dyDescent="0.2">
      <c r="A119" s="588" t="s">
        <v>1773</v>
      </c>
      <c r="B119" s="601" t="s">
        <v>1462</v>
      </c>
      <c r="C119" s="601" t="s">
        <v>1485</v>
      </c>
      <c r="D119" s="604" t="s">
        <v>1970</v>
      </c>
      <c r="E119" s="581" t="s">
        <v>1464</v>
      </c>
      <c r="F119" s="615">
        <v>796</v>
      </c>
      <c r="G119" s="615" t="s">
        <v>1465</v>
      </c>
      <c r="H119" s="601">
        <v>571</v>
      </c>
      <c r="I119" s="604">
        <v>40273562000</v>
      </c>
      <c r="J119" s="581" t="s">
        <v>1338</v>
      </c>
      <c r="K119" s="607">
        <v>1208567.67</v>
      </c>
      <c r="L119" s="608">
        <v>1208567.67</v>
      </c>
      <c r="M119" s="596" t="s">
        <v>1466</v>
      </c>
      <c r="N119" s="608">
        <v>1208567.67</v>
      </c>
      <c r="O119" s="609">
        <v>42826</v>
      </c>
      <c r="P119" s="610">
        <v>42948</v>
      </c>
      <c r="Q119" s="599" t="s">
        <v>112</v>
      </c>
      <c r="R119" s="599" t="s">
        <v>115</v>
      </c>
      <c r="S119" s="611" t="s">
        <v>100</v>
      </c>
      <c r="T119" s="596" t="s">
        <v>100</v>
      </c>
      <c r="U119" s="596" t="s">
        <v>100</v>
      </c>
      <c r="V119" s="554" t="s">
        <v>45</v>
      </c>
      <c r="W119" s="601" t="s">
        <v>74</v>
      </c>
      <c r="X119" s="601">
        <v>7802064795</v>
      </c>
      <c r="Y119" s="554" t="s">
        <v>1486</v>
      </c>
      <c r="Z119" s="608">
        <v>1208567.67</v>
      </c>
      <c r="AA119" s="569" t="s">
        <v>1467</v>
      </c>
      <c r="AB119" s="596" t="s">
        <v>266</v>
      </c>
      <c r="AC119" s="615"/>
    </row>
    <row r="120" spans="1:29" s="577" customFormat="1" ht="80.099999999999994" customHeight="1" x14ac:dyDescent="0.2">
      <c r="A120" s="588" t="s">
        <v>1774</v>
      </c>
      <c r="B120" s="601" t="s">
        <v>1462</v>
      </c>
      <c r="C120" s="601" t="s">
        <v>1485</v>
      </c>
      <c r="D120" s="604" t="s">
        <v>1971</v>
      </c>
      <c r="E120" s="581" t="s">
        <v>1464</v>
      </c>
      <c r="F120" s="615">
        <v>796</v>
      </c>
      <c r="G120" s="615" t="s">
        <v>1465</v>
      </c>
      <c r="H120" s="601">
        <v>832</v>
      </c>
      <c r="I120" s="604">
        <v>40273562000</v>
      </c>
      <c r="J120" s="581" t="s">
        <v>1338</v>
      </c>
      <c r="K120" s="607">
        <v>1316000</v>
      </c>
      <c r="L120" s="608">
        <v>1316000</v>
      </c>
      <c r="M120" s="596" t="s">
        <v>1466</v>
      </c>
      <c r="N120" s="608">
        <v>1316000</v>
      </c>
      <c r="O120" s="609">
        <v>42887</v>
      </c>
      <c r="P120" s="610">
        <v>43009</v>
      </c>
      <c r="Q120" s="599" t="s">
        <v>112</v>
      </c>
      <c r="R120" s="599" t="s">
        <v>115</v>
      </c>
      <c r="S120" s="611" t="s">
        <v>100</v>
      </c>
      <c r="T120" s="596" t="s">
        <v>100</v>
      </c>
      <c r="U120" s="596" t="s">
        <v>100</v>
      </c>
      <c r="V120" s="554" t="s">
        <v>45</v>
      </c>
      <c r="W120" s="601" t="s">
        <v>74</v>
      </c>
      <c r="X120" s="601">
        <v>7802064795</v>
      </c>
      <c r="Y120" s="554" t="s">
        <v>1486</v>
      </c>
      <c r="Z120" s="608">
        <v>1316000</v>
      </c>
      <c r="AA120" s="569" t="s">
        <v>1467</v>
      </c>
      <c r="AB120" s="596" t="s">
        <v>266</v>
      </c>
      <c r="AC120" s="615"/>
    </row>
    <row r="121" spans="1:29" s="577" customFormat="1" ht="80.099999999999994" customHeight="1" x14ac:dyDescent="0.2">
      <c r="A121" s="588" t="s">
        <v>1775</v>
      </c>
      <c r="B121" s="618" t="s">
        <v>1487</v>
      </c>
      <c r="C121" s="601" t="s">
        <v>1488</v>
      </c>
      <c r="D121" s="604" t="s">
        <v>1972</v>
      </c>
      <c r="E121" s="581" t="s">
        <v>1464</v>
      </c>
      <c r="F121" s="615">
        <v>796</v>
      </c>
      <c r="G121" s="615" t="s">
        <v>1465</v>
      </c>
      <c r="H121" s="601">
        <v>170</v>
      </c>
      <c r="I121" s="604">
        <v>40273562000</v>
      </c>
      <c r="J121" s="581" t="s">
        <v>1338</v>
      </c>
      <c r="K121" s="607">
        <v>675000</v>
      </c>
      <c r="L121" s="608">
        <v>675000</v>
      </c>
      <c r="M121" s="596" t="s">
        <v>1466</v>
      </c>
      <c r="N121" s="608">
        <v>675000</v>
      </c>
      <c r="O121" s="609">
        <v>42887</v>
      </c>
      <c r="P121" s="610">
        <v>42979</v>
      </c>
      <c r="Q121" s="599" t="s">
        <v>112</v>
      </c>
      <c r="R121" s="599" t="s">
        <v>115</v>
      </c>
      <c r="S121" s="611" t="s">
        <v>100</v>
      </c>
      <c r="T121" s="596" t="s">
        <v>100</v>
      </c>
      <c r="U121" s="596" t="s">
        <v>100</v>
      </c>
      <c r="V121" s="554" t="s">
        <v>45</v>
      </c>
      <c r="W121" s="601" t="s">
        <v>74</v>
      </c>
      <c r="X121" s="618" t="s">
        <v>1489</v>
      </c>
      <c r="Y121" s="554" t="s">
        <v>1490</v>
      </c>
      <c r="Z121" s="608">
        <v>675000</v>
      </c>
      <c r="AA121" s="569" t="s">
        <v>1467</v>
      </c>
      <c r="AB121" s="596" t="s">
        <v>266</v>
      </c>
      <c r="AC121" s="615"/>
    </row>
    <row r="122" spans="1:29" s="577" customFormat="1" ht="80.099999999999994" customHeight="1" x14ac:dyDescent="0.2">
      <c r="A122" s="588" t="s">
        <v>1776</v>
      </c>
      <c r="B122" s="618" t="s">
        <v>1487</v>
      </c>
      <c r="C122" s="601" t="s">
        <v>1488</v>
      </c>
      <c r="D122" s="604" t="s">
        <v>1973</v>
      </c>
      <c r="E122" s="581" t="s">
        <v>1464</v>
      </c>
      <c r="F122" s="615">
        <v>796</v>
      </c>
      <c r="G122" s="615" t="s">
        <v>1465</v>
      </c>
      <c r="H122" s="601">
        <v>895</v>
      </c>
      <c r="I122" s="604">
        <v>40273562000</v>
      </c>
      <c r="J122" s="581" t="s">
        <v>1338</v>
      </c>
      <c r="K122" s="607">
        <v>446344</v>
      </c>
      <c r="L122" s="608">
        <v>446344</v>
      </c>
      <c r="M122" s="596" t="s">
        <v>1466</v>
      </c>
      <c r="N122" s="608">
        <v>446344</v>
      </c>
      <c r="O122" s="609">
        <v>42826</v>
      </c>
      <c r="P122" s="610">
        <v>42948</v>
      </c>
      <c r="Q122" s="599" t="s">
        <v>112</v>
      </c>
      <c r="R122" s="599" t="s">
        <v>115</v>
      </c>
      <c r="S122" s="611" t="s">
        <v>100</v>
      </c>
      <c r="T122" s="596" t="s">
        <v>100</v>
      </c>
      <c r="U122" s="596" t="s">
        <v>100</v>
      </c>
      <c r="V122" s="554" t="s">
        <v>45</v>
      </c>
      <c r="W122" s="601" t="s">
        <v>74</v>
      </c>
      <c r="X122" s="618" t="s">
        <v>1491</v>
      </c>
      <c r="Y122" s="554" t="s">
        <v>1492</v>
      </c>
      <c r="Z122" s="608">
        <v>446344</v>
      </c>
      <c r="AA122" s="569" t="s">
        <v>1467</v>
      </c>
      <c r="AB122" s="596" t="s">
        <v>266</v>
      </c>
      <c r="AC122" s="615"/>
    </row>
    <row r="123" spans="1:29" s="577" customFormat="1" ht="80.099999999999994" customHeight="1" x14ac:dyDescent="0.2">
      <c r="A123" s="588" t="s">
        <v>1777</v>
      </c>
      <c r="B123" s="618" t="s">
        <v>1487</v>
      </c>
      <c r="C123" s="601" t="s">
        <v>1488</v>
      </c>
      <c r="D123" s="604" t="s">
        <v>1974</v>
      </c>
      <c r="E123" s="581" t="s">
        <v>1464</v>
      </c>
      <c r="F123" s="615">
        <v>796</v>
      </c>
      <c r="G123" s="615" t="s">
        <v>1465</v>
      </c>
      <c r="H123" s="601">
        <v>618</v>
      </c>
      <c r="I123" s="604">
        <v>40273562000</v>
      </c>
      <c r="J123" s="581" t="s">
        <v>1338</v>
      </c>
      <c r="K123" s="607">
        <v>1104000</v>
      </c>
      <c r="L123" s="608">
        <v>1104000</v>
      </c>
      <c r="M123" s="596" t="s">
        <v>1466</v>
      </c>
      <c r="N123" s="608">
        <v>1104000</v>
      </c>
      <c r="O123" s="609">
        <v>42887</v>
      </c>
      <c r="P123" s="610">
        <v>43009</v>
      </c>
      <c r="Q123" s="599" t="s">
        <v>112</v>
      </c>
      <c r="R123" s="599" t="s">
        <v>115</v>
      </c>
      <c r="S123" s="611" t="s">
        <v>100</v>
      </c>
      <c r="T123" s="596" t="s">
        <v>100</v>
      </c>
      <c r="U123" s="596" t="s">
        <v>100</v>
      </c>
      <c r="V123" s="554" t="s">
        <v>45</v>
      </c>
      <c r="W123" s="601" t="s">
        <v>74</v>
      </c>
      <c r="X123" s="618" t="s">
        <v>1491</v>
      </c>
      <c r="Y123" s="554" t="s">
        <v>1492</v>
      </c>
      <c r="Z123" s="608">
        <v>1104000</v>
      </c>
      <c r="AA123" s="569" t="s">
        <v>1467</v>
      </c>
      <c r="AB123" s="596" t="s">
        <v>266</v>
      </c>
      <c r="AC123" s="615"/>
    </row>
    <row r="124" spans="1:29" s="577" customFormat="1" ht="80.099999999999994" customHeight="1" x14ac:dyDescent="0.2">
      <c r="A124" s="588" t="s">
        <v>1778</v>
      </c>
      <c r="B124" s="601" t="s">
        <v>1475</v>
      </c>
      <c r="C124" s="601" t="s">
        <v>1476</v>
      </c>
      <c r="D124" s="604" t="s">
        <v>1975</v>
      </c>
      <c r="E124" s="581" t="s">
        <v>1464</v>
      </c>
      <c r="F124" s="615">
        <v>796</v>
      </c>
      <c r="G124" s="615" t="s">
        <v>1465</v>
      </c>
      <c r="H124" s="601">
        <v>615</v>
      </c>
      <c r="I124" s="604">
        <v>40273562000</v>
      </c>
      <c r="J124" s="581" t="s">
        <v>1338</v>
      </c>
      <c r="K124" s="607">
        <v>514000</v>
      </c>
      <c r="L124" s="608">
        <v>514000</v>
      </c>
      <c r="M124" s="596" t="s">
        <v>1466</v>
      </c>
      <c r="N124" s="608">
        <v>514000</v>
      </c>
      <c r="O124" s="609">
        <v>42767</v>
      </c>
      <c r="P124" s="610">
        <v>42826</v>
      </c>
      <c r="Q124" s="599" t="s">
        <v>112</v>
      </c>
      <c r="R124" s="599" t="s">
        <v>115</v>
      </c>
      <c r="S124" s="611" t="s">
        <v>100</v>
      </c>
      <c r="T124" s="596" t="s">
        <v>100</v>
      </c>
      <c r="U124" s="596" t="s">
        <v>100</v>
      </c>
      <c r="V124" s="554" t="s">
        <v>45</v>
      </c>
      <c r="W124" s="601" t="s">
        <v>74</v>
      </c>
      <c r="X124" s="615">
        <v>3254511340</v>
      </c>
      <c r="Y124" s="615" t="s">
        <v>1493</v>
      </c>
      <c r="Z124" s="608">
        <v>514000</v>
      </c>
      <c r="AA124" s="569" t="s">
        <v>1467</v>
      </c>
      <c r="AB124" s="596" t="s">
        <v>266</v>
      </c>
      <c r="AC124" s="615"/>
    </row>
    <row r="125" spans="1:29" s="577" customFormat="1" ht="80.099999999999994" customHeight="1" x14ac:dyDescent="0.2">
      <c r="A125" s="588" t="s">
        <v>1779</v>
      </c>
      <c r="B125" s="601" t="s">
        <v>1475</v>
      </c>
      <c r="C125" s="601" t="s">
        <v>1476</v>
      </c>
      <c r="D125" s="604" t="s">
        <v>1976</v>
      </c>
      <c r="E125" s="581" t="s">
        <v>1464</v>
      </c>
      <c r="F125" s="615">
        <v>796</v>
      </c>
      <c r="G125" s="615" t="s">
        <v>1465</v>
      </c>
      <c r="H125" s="601">
        <v>1119</v>
      </c>
      <c r="I125" s="604">
        <v>40273562000</v>
      </c>
      <c r="J125" s="581" t="s">
        <v>1338</v>
      </c>
      <c r="K125" s="607">
        <v>1244000</v>
      </c>
      <c r="L125" s="608">
        <v>1244000</v>
      </c>
      <c r="M125" s="596" t="s">
        <v>1466</v>
      </c>
      <c r="N125" s="608">
        <v>1244000</v>
      </c>
      <c r="O125" s="609">
        <v>42826</v>
      </c>
      <c r="P125" s="610">
        <v>42887</v>
      </c>
      <c r="Q125" s="599" t="s">
        <v>112</v>
      </c>
      <c r="R125" s="599" t="s">
        <v>115</v>
      </c>
      <c r="S125" s="611" t="s">
        <v>100</v>
      </c>
      <c r="T125" s="596" t="s">
        <v>100</v>
      </c>
      <c r="U125" s="596" t="s">
        <v>100</v>
      </c>
      <c r="V125" s="554" t="s">
        <v>45</v>
      </c>
      <c r="W125" s="601" t="s">
        <v>74</v>
      </c>
      <c r="X125" s="615">
        <v>3254511340</v>
      </c>
      <c r="Y125" s="615" t="s">
        <v>1493</v>
      </c>
      <c r="Z125" s="608">
        <v>1244000</v>
      </c>
      <c r="AA125" s="569" t="s">
        <v>1467</v>
      </c>
      <c r="AB125" s="596" t="s">
        <v>266</v>
      </c>
      <c r="AC125" s="615"/>
    </row>
    <row r="126" spans="1:29" s="577" customFormat="1" ht="80.099999999999994" customHeight="1" x14ac:dyDescent="0.2">
      <c r="A126" s="588" t="s">
        <v>1780</v>
      </c>
      <c r="B126" s="601" t="s">
        <v>1475</v>
      </c>
      <c r="C126" s="601" t="s">
        <v>1476</v>
      </c>
      <c r="D126" s="604" t="s">
        <v>1977</v>
      </c>
      <c r="E126" s="581" t="s">
        <v>1464</v>
      </c>
      <c r="F126" s="615">
        <v>796</v>
      </c>
      <c r="G126" s="615" t="s">
        <v>1465</v>
      </c>
      <c r="H126" s="601">
        <v>879</v>
      </c>
      <c r="I126" s="604">
        <v>40273562000</v>
      </c>
      <c r="J126" s="581" t="s">
        <v>1338</v>
      </c>
      <c r="K126" s="607">
        <v>2123000</v>
      </c>
      <c r="L126" s="608">
        <v>2123000</v>
      </c>
      <c r="M126" s="596" t="s">
        <v>1466</v>
      </c>
      <c r="N126" s="608">
        <v>2123000</v>
      </c>
      <c r="O126" s="609">
        <v>42917</v>
      </c>
      <c r="P126" s="610">
        <v>43009</v>
      </c>
      <c r="Q126" s="599" t="s">
        <v>112</v>
      </c>
      <c r="R126" s="599" t="s">
        <v>115</v>
      </c>
      <c r="S126" s="611" t="s">
        <v>100</v>
      </c>
      <c r="T126" s="596" t="s">
        <v>100</v>
      </c>
      <c r="U126" s="596" t="s">
        <v>100</v>
      </c>
      <c r="V126" s="554" t="s">
        <v>45</v>
      </c>
      <c r="W126" s="601" t="s">
        <v>74</v>
      </c>
      <c r="X126" s="615">
        <v>3254511340</v>
      </c>
      <c r="Y126" s="615" t="s">
        <v>1493</v>
      </c>
      <c r="Z126" s="608">
        <v>2123000</v>
      </c>
      <c r="AA126" s="569" t="s">
        <v>1467</v>
      </c>
      <c r="AB126" s="596" t="s">
        <v>266</v>
      </c>
      <c r="AC126" s="615"/>
    </row>
    <row r="127" spans="1:29" s="577" customFormat="1" ht="80.099999999999994" customHeight="1" x14ac:dyDescent="0.2">
      <c r="A127" s="588" t="s">
        <v>1781</v>
      </c>
      <c r="B127" s="601" t="s">
        <v>1475</v>
      </c>
      <c r="C127" s="601" t="s">
        <v>1476</v>
      </c>
      <c r="D127" s="604" t="s">
        <v>1978</v>
      </c>
      <c r="E127" s="581" t="s">
        <v>1464</v>
      </c>
      <c r="F127" s="615">
        <v>796</v>
      </c>
      <c r="G127" s="615" t="s">
        <v>1465</v>
      </c>
      <c r="H127" s="601">
        <v>377</v>
      </c>
      <c r="I127" s="604">
        <v>40273562000</v>
      </c>
      <c r="J127" s="581" t="s">
        <v>1338</v>
      </c>
      <c r="K127" s="607">
        <v>1578000</v>
      </c>
      <c r="L127" s="608">
        <v>1578000</v>
      </c>
      <c r="M127" s="596" t="s">
        <v>1466</v>
      </c>
      <c r="N127" s="608">
        <v>1578000</v>
      </c>
      <c r="O127" s="609">
        <v>42795</v>
      </c>
      <c r="P127" s="610">
        <v>42856</v>
      </c>
      <c r="Q127" s="599" t="s">
        <v>112</v>
      </c>
      <c r="R127" s="599" t="s">
        <v>115</v>
      </c>
      <c r="S127" s="611" t="s">
        <v>100</v>
      </c>
      <c r="T127" s="596" t="s">
        <v>100</v>
      </c>
      <c r="U127" s="596" t="s">
        <v>100</v>
      </c>
      <c r="V127" s="554" t="s">
        <v>45</v>
      </c>
      <c r="W127" s="601" t="s">
        <v>74</v>
      </c>
      <c r="X127" s="614" t="s">
        <v>1494</v>
      </c>
      <c r="Y127" s="615" t="s">
        <v>1495</v>
      </c>
      <c r="Z127" s="608">
        <v>1578000</v>
      </c>
      <c r="AA127" s="569" t="s">
        <v>1467</v>
      </c>
      <c r="AB127" s="596" t="s">
        <v>266</v>
      </c>
      <c r="AC127" s="615"/>
    </row>
    <row r="128" spans="1:29" s="577" customFormat="1" ht="80.099999999999994" customHeight="1" x14ac:dyDescent="0.2">
      <c r="A128" s="588" t="s">
        <v>1782</v>
      </c>
      <c r="B128" s="601" t="s">
        <v>1475</v>
      </c>
      <c r="C128" s="601" t="s">
        <v>1476</v>
      </c>
      <c r="D128" s="604" t="s">
        <v>1979</v>
      </c>
      <c r="E128" s="581" t="s">
        <v>1464</v>
      </c>
      <c r="F128" s="615">
        <v>796</v>
      </c>
      <c r="G128" s="615" t="s">
        <v>1465</v>
      </c>
      <c r="H128" s="601">
        <v>721</v>
      </c>
      <c r="I128" s="604">
        <v>40273562000</v>
      </c>
      <c r="J128" s="581" t="s">
        <v>1338</v>
      </c>
      <c r="K128" s="607">
        <v>1023000</v>
      </c>
      <c r="L128" s="608">
        <v>1023000</v>
      </c>
      <c r="M128" s="596" t="s">
        <v>1466</v>
      </c>
      <c r="N128" s="608">
        <v>1023000</v>
      </c>
      <c r="O128" s="609">
        <v>42948</v>
      </c>
      <c r="P128" s="610">
        <v>43009</v>
      </c>
      <c r="Q128" s="599" t="s">
        <v>112</v>
      </c>
      <c r="R128" s="599" t="s">
        <v>115</v>
      </c>
      <c r="S128" s="611" t="s">
        <v>100</v>
      </c>
      <c r="T128" s="596" t="s">
        <v>100</v>
      </c>
      <c r="U128" s="596" t="s">
        <v>100</v>
      </c>
      <c r="V128" s="554" t="s">
        <v>45</v>
      </c>
      <c r="W128" s="601" t="s">
        <v>74</v>
      </c>
      <c r="X128" s="614" t="s">
        <v>1494</v>
      </c>
      <c r="Y128" s="615" t="s">
        <v>1495</v>
      </c>
      <c r="Z128" s="608">
        <v>1023000</v>
      </c>
      <c r="AA128" s="569" t="s">
        <v>1467</v>
      </c>
      <c r="AB128" s="596" t="s">
        <v>266</v>
      </c>
      <c r="AC128" s="615"/>
    </row>
    <row r="129" spans="1:29" s="577" customFormat="1" ht="80.099999999999994" customHeight="1" x14ac:dyDescent="0.2">
      <c r="A129" s="588" t="s">
        <v>1783</v>
      </c>
      <c r="B129" s="601" t="s">
        <v>1475</v>
      </c>
      <c r="C129" s="601" t="s">
        <v>1476</v>
      </c>
      <c r="D129" s="604" t="s">
        <v>1980</v>
      </c>
      <c r="E129" s="581" t="s">
        <v>1464</v>
      </c>
      <c r="F129" s="615">
        <v>796</v>
      </c>
      <c r="G129" s="615" t="s">
        <v>1465</v>
      </c>
      <c r="H129" s="601">
        <v>445</v>
      </c>
      <c r="I129" s="604">
        <v>40273562000</v>
      </c>
      <c r="J129" s="581" t="s">
        <v>1338</v>
      </c>
      <c r="K129" s="607">
        <v>579000</v>
      </c>
      <c r="L129" s="608">
        <v>579000</v>
      </c>
      <c r="M129" s="596" t="s">
        <v>1466</v>
      </c>
      <c r="N129" s="608">
        <v>579000</v>
      </c>
      <c r="O129" s="609">
        <v>42948</v>
      </c>
      <c r="P129" s="610">
        <v>43009</v>
      </c>
      <c r="Q129" s="599" t="s">
        <v>112</v>
      </c>
      <c r="R129" s="599" t="s">
        <v>115</v>
      </c>
      <c r="S129" s="611" t="s">
        <v>100</v>
      </c>
      <c r="T129" s="596" t="s">
        <v>100</v>
      </c>
      <c r="U129" s="596" t="s">
        <v>100</v>
      </c>
      <c r="V129" s="554" t="s">
        <v>45</v>
      </c>
      <c r="W129" s="601" t="s">
        <v>74</v>
      </c>
      <c r="X129" s="614" t="s">
        <v>1496</v>
      </c>
      <c r="Y129" s="615" t="s">
        <v>1497</v>
      </c>
      <c r="Z129" s="608">
        <v>579000</v>
      </c>
      <c r="AA129" s="569" t="s">
        <v>1467</v>
      </c>
      <c r="AB129" s="596" t="s">
        <v>266</v>
      </c>
      <c r="AC129" s="615"/>
    </row>
    <row r="130" spans="1:29" s="577" customFormat="1" ht="80.099999999999994" customHeight="1" x14ac:dyDescent="0.2">
      <c r="A130" s="588" t="s">
        <v>1784</v>
      </c>
      <c r="B130" s="612" t="s">
        <v>1470</v>
      </c>
      <c r="C130" s="596" t="s">
        <v>1471</v>
      </c>
      <c r="D130" s="604" t="s">
        <v>1981</v>
      </c>
      <c r="E130" s="581" t="s">
        <v>1464</v>
      </c>
      <c r="F130" s="604">
        <v>796</v>
      </c>
      <c r="G130" s="605" t="s">
        <v>1465</v>
      </c>
      <c r="H130" s="601">
        <v>220</v>
      </c>
      <c r="I130" s="604">
        <v>40273562000</v>
      </c>
      <c r="J130" s="581" t="s">
        <v>1338</v>
      </c>
      <c r="K130" s="607">
        <v>13882055.800000001</v>
      </c>
      <c r="L130" s="608">
        <v>13882055.800000001</v>
      </c>
      <c r="M130" s="596" t="s">
        <v>1466</v>
      </c>
      <c r="N130" s="608">
        <v>13882055.800000001</v>
      </c>
      <c r="O130" s="609">
        <v>42826</v>
      </c>
      <c r="P130" s="610">
        <v>42917</v>
      </c>
      <c r="Q130" s="599" t="s">
        <v>112</v>
      </c>
      <c r="R130" s="599" t="s">
        <v>115</v>
      </c>
      <c r="S130" s="611" t="s">
        <v>100</v>
      </c>
      <c r="T130" s="596" t="s">
        <v>100</v>
      </c>
      <c r="U130" s="596" t="s">
        <v>100</v>
      </c>
      <c r="V130" s="554" t="s">
        <v>45</v>
      </c>
      <c r="W130" s="601" t="s">
        <v>74</v>
      </c>
      <c r="X130" s="618" t="s">
        <v>1498</v>
      </c>
      <c r="Y130" s="554" t="s">
        <v>1499</v>
      </c>
      <c r="Z130" s="608">
        <v>13882055.800000001</v>
      </c>
      <c r="AA130" s="569" t="s">
        <v>1467</v>
      </c>
      <c r="AB130" s="596" t="s">
        <v>1472</v>
      </c>
      <c r="AC130" s="615"/>
    </row>
    <row r="131" spans="1:29" s="577" customFormat="1" ht="80.099999999999994" customHeight="1" x14ac:dyDescent="0.2">
      <c r="A131" s="588" t="s">
        <v>1785</v>
      </c>
      <c r="B131" s="612" t="s">
        <v>1470</v>
      </c>
      <c r="C131" s="596" t="s">
        <v>1471</v>
      </c>
      <c r="D131" s="604" t="s">
        <v>1982</v>
      </c>
      <c r="E131" s="581" t="s">
        <v>1464</v>
      </c>
      <c r="F131" s="604">
        <v>796</v>
      </c>
      <c r="G131" s="605" t="s">
        <v>1465</v>
      </c>
      <c r="H131" s="601">
        <v>95</v>
      </c>
      <c r="I131" s="604">
        <v>40273562000</v>
      </c>
      <c r="J131" s="581" t="s">
        <v>1338</v>
      </c>
      <c r="K131" s="607">
        <v>6971000</v>
      </c>
      <c r="L131" s="608">
        <v>6971000</v>
      </c>
      <c r="M131" s="596" t="s">
        <v>1466</v>
      </c>
      <c r="N131" s="608">
        <v>6971000</v>
      </c>
      <c r="O131" s="609">
        <v>42917</v>
      </c>
      <c r="P131" s="610">
        <v>43009</v>
      </c>
      <c r="Q131" s="599" t="s">
        <v>112</v>
      </c>
      <c r="R131" s="599" t="s">
        <v>115</v>
      </c>
      <c r="S131" s="611" t="s">
        <v>100</v>
      </c>
      <c r="T131" s="596" t="s">
        <v>100</v>
      </c>
      <c r="U131" s="596" t="s">
        <v>100</v>
      </c>
      <c r="V131" s="554" t="s">
        <v>45</v>
      </c>
      <c r="W131" s="601" t="s">
        <v>74</v>
      </c>
      <c r="X131" s="618" t="s">
        <v>1498</v>
      </c>
      <c r="Y131" s="554" t="s">
        <v>1499</v>
      </c>
      <c r="Z131" s="608">
        <v>6971000</v>
      </c>
      <c r="AA131" s="569" t="s">
        <v>1467</v>
      </c>
      <c r="AB131" s="596" t="s">
        <v>1472</v>
      </c>
      <c r="AC131" s="615"/>
    </row>
    <row r="132" spans="1:29" s="577" customFormat="1" ht="80.099999999999994" customHeight="1" x14ac:dyDescent="0.2">
      <c r="A132" s="588" t="s">
        <v>1786</v>
      </c>
      <c r="B132" s="612" t="s">
        <v>1500</v>
      </c>
      <c r="C132" s="596" t="s">
        <v>1501</v>
      </c>
      <c r="D132" s="604" t="s">
        <v>1983</v>
      </c>
      <c r="E132" s="581" t="s">
        <v>1464</v>
      </c>
      <c r="F132" s="604">
        <v>796</v>
      </c>
      <c r="G132" s="605" t="s">
        <v>1465</v>
      </c>
      <c r="H132" s="601">
        <v>4</v>
      </c>
      <c r="I132" s="604">
        <v>40273562000</v>
      </c>
      <c r="J132" s="581" t="s">
        <v>1338</v>
      </c>
      <c r="K132" s="607">
        <v>130000</v>
      </c>
      <c r="L132" s="608">
        <v>130000</v>
      </c>
      <c r="M132" s="596" t="s">
        <v>1466</v>
      </c>
      <c r="N132" s="608">
        <v>130000</v>
      </c>
      <c r="O132" s="609">
        <v>42826</v>
      </c>
      <c r="P132" s="610">
        <v>42917</v>
      </c>
      <c r="Q132" s="599" t="s">
        <v>112</v>
      </c>
      <c r="R132" s="599" t="s">
        <v>115</v>
      </c>
      <c r="S132" s="611" t="s">
        <v>100</v>
      </c>
      <c r="T132" s="596" t="s">
        <v>100</v>
      </c>
      <c r="U132" s="596" t="s">
        <v>100</v>
      </c>
      <c r="V132" s="554" t="s">
        <v>45</v>
      </c>
      <c r="W132" s="601" t="s">
        <v>74</v>
      </c>
      <c r="X132" s="618" t="s">
        <v>1502</v>
      </c>
      <c r="Y132" s="554" t="s">
        <v>1503</v>
      </c>
      <c r="Z132" s="608">
        <v>130000</v>
      </c>
      <c r="AA132" s="569" t="s">
        <v>1467</v>
      </c>
      <c r="AB132" s="596" t="s">
        <v>266</v>
      </c>
      <c r="AC132" s="615"/>
    </row>
    <row r="133" spans="1:29" s="577" customFormat="1" ht="80.099999999999994" customHeight="1" x14ac:dyDescent="0.2">
      <c r="A133" s="588" t="s">
        <v>1787</v>
      </c>
      <c r="B133" s="601" t="s">
        <v>1475</v>
      </c>
      <c r="C133" s="601" t="s">
        <v>1476</v>
      </c>
      <c r="D133" s="604" t="s">
        <v>1984</v>
      </c>
      <c r="E133" s="581" t="s">
        <v>1464</v>
      </c>
      <c r="F133" s="615">
        <v>796</v>
      </c>
      <c r="G133" s="615" t="s">
        <v>1465</v>
      </c>
      <c r="H133" s="601">
        <v>1080</v>
      </c>
      <c r="I133" s="604">
        <v>40273562000</v>
      </c>
      <c r="J133" s="581" t="s">
        <v>1338</v>
      </c>
      <c r="K133" s="607">
        <v>1886000</v>
      </c>
      <c r="L133" s="608">
        <v>1886000</v>
      </c>
      <c r="M133" s="596" t="s">
        <v>1466</v>
      </c>
      <c r="N133" s="608">
        <v>1886000</v>
      </c>
      <c r="O133" s="609">
        <v>42795</v>
      </c>
      <c r="P133" s="610">
        <v>42887</v>
      </c>
      <c r="Q133" s="599" t="s">
        <v>112</v>
      </c>
      <c r="R133" s="599" t="s">
        <v>115</v>
      </c>
      <c r="S133" s="611" t="s">
        <v>100</v>
      </c>
      <c r="T133" s="596" t="s">
        <v>100</v>
      </c>
      <c r="U133" s="596" t="s">
        <v>100</v>
      </c>
      <c r="V133" s="554" t="s">
        <v>45</v>
      </c>
      <c r="W133" s="601" t="s">
        <v>74</v>
      </c>
      <c r="X133" s="615">
        <v>1657032272</v>
      </c>
      <c r="Y133" s="615" t="s">
        <v>1504</v>
      </c>
      <c r="Z133" s="608">
        <v>1886000</v>
      </c>
      <c r="AA133" s="569" t="s">
        <v>1467</v>
      </c>
      <c r="AB133" s="596" t="s">
        <v>266</v>
      </c>
      <c r="AC133" s="615"/>
    </row>
    <row r="134" spans="1:29" s="577" customFormat="1" ht="80.099999999999994" customHeight="1" x14ac:dyDescent="0.2">
      <c r="A134" s="588" t="s">
        <v>1788</v>
      </c>
      <c r="B134" s="601" t="s">
        <v>1475</v>
      </c>
      <c r="C134" s="601" t="s">
        <v>1476</v>
      </c>
      <c r="D134" s="604" t="s">
        <v>1985</v>
      </c>
      <c r="E134" s="581" t="s">
        <v>1464</v>
      </c>
      <c r="F134" s="615">
        <v>796</v>
      </c>
      <c r="G134" s="615" t="s">
        <v>1465</v>
      </c>
      <c r="H134" s="601">
        <v>1100</v>
      </c>
      <c r="I134" s="604">
        <v>40273562000</v>
      </c>
      <c r="J134" s="581" t="s">
        <v>1338</v>
      </c>
      <c r="K134" s="607">
        <v>2251000</v>
      </c>
      <c r="L134" s="608">
        <v>2251000</v>
      </c>
      <c r="M134" s="596" t="s">
        <v>1466</v>
      </c>
      <c r="N134" s="608">
        <v>2251000</v>
      </c>
      <c r="O134" s="609">
        <v>42856</v>
      </c>
      <c r="P134" s="610">
        <v>42979</v>
      </c>
      <c r="Q134" s="599" t="s">
        <v>112</v>
      </c>
      <c r="R134" s="599" t="s">
        <v>115</v>
      </c>
      <c r="S134" s="611" t="s">
        <v>100</v>
      </c>
      <c r="T134" s="596" t="s">
        <v>100</v>
      </c>
      <c r="U134" s="596" t="s">
        <v>100</v>
      </c>
      <c r="V134" s="554" t="s">
        <v>45</v>
      </c>
      <c r="W134" s="601" t="s">
        <v>74</v>
      </c>
      <c r="X134" s="615">
        <v>1657032272</v>
      </c>
      <c r="Y134" s="615" t="s">
        <v>1504</v>
      </c>
      <c r="Z134" s="608">
        <v>2251000</v>
      </c>
      <c r="AA134" s="569" t="s">
        <v>1467</v>
      </c>
      <c r="AB134" s="596" t="s">
        <v>266</v>
      </c>
      <c r="AC134" s="615"/>
    </row>
    <row r="135" spans="1:29" s="577" customFormat="1" ht="80.099999999999994" customHeight="1" x14ac:dyDescent="0.2">
      <c r="A135" s="588" t="s">
        <v>1789</v>
      </c>
      <c r="B135" s="601" t="s">
        <v>1475</v>
      </c>
      <c r="C135" s="601" t="s">
        <v>1476</v>
      </c>
      <c r="D135" s="604" t="s">
        <v>1986</v>
      </c>
      <c r="E135" s="581" t="s">
        <v>1464</v>
      </c>
      <c r="F135" s="615">
        <v>796</v>
      </c>
      <c r="G135" s="615" t="s">
        <v>1465</v>
      </c>
      <c r="H135" s="601">
        <v>520</v>
      </c>
      <c r="I135" s="604">
        <v>40273562000</v>
      </c>
      <c r="J135" s="581" t="s">
        <v>1338</v>
      </c>
      <c r="K135" s="607">
        <v>1130000</v>
      </c>
      <c r="L135" s="608">
        <v>1130000</v>
      </c>
      <c r="M135" s="596" t="s">
        <v>1466</v>
      </c>
      <c r="N135" s="608">
        <v>1130000</v>
      </c>
      <c r="O135" s="609">
        <v>42948</v>
      </c>
      <c r="P135" s="610">
        <v>43070</v>
      </c>
      <c r="Q135" s="599" t="s">
        <v>112</v>
      </c>
      <c r="R135" s="599" t="s">
        <v>115</v>
      </c>
      <c r="S135" s="611" t="s">
        <v>100</v>
      </c>
      <c r="T135" s="596" t="s">
        <v>100</v>
      </c>
      <c r="U135" s="596" t="s">
        <v>100</v>
      </c>
      <c r="V135" s="554" t="s">
        <v>45</v>
      </c>
      <c r="W135" s="601" t="s">
        <v>74</v>
      </c>
      <c r="X135" s="615">
        <v>1657032272</v>
      </c>
      <c r="Y135" s="615" t="s">
        <v>1504</v>
      </c>
      <c r="Z135" s="608">
        <v>1130000</v>
      </c>
      <c r="AA135" s="569" t="s">
        <v>1467</v>
      </c>
      <c r="AB135" s="596" t="s">
        <v>266</v>
      </c>
      <c r="AC135" s="615"/>
    </row>
    <row r="136" spans="1:29" s="577" customFormat="1" ht="80.099999999999994" customHeight="1" x14ac:dyDescent="0.2">
      <c r="A136" s="588" t="s">
        <v>1790</v>
      </c>
      <c r="B136" s="569" t="s">
        <v>1505</v>
      </c>
      <c r="C136" s="604" t="s">
        <v>1506</v>
      </c>
      <c r="D136" s="604" t="s">
        <v>1987</v>
      </c>
      <c r="E136" s="554" t="s">
        <v>1507</v>
      </c>
      <c r="F136" s="561" t="s">
        <v>1508</v>
      </c>
      <c r="G136" s="565" t="s">
        <v>1509</v>
      </c>
      <c r="H136" s="606">
        <v>40000</v>
      </c>
      <c r="I136" s="564">
        <v>40273562000</v>
      </c>
      <c r="J136" s="564" t="s">
        <v>1338</v>
      </c>
      <c r="K136" s="619">
        <v>4900000</v>
      </c>
      <c r="L136" s="620">
        <v>4900000</v>
      </c>
      <c r="M136" s="554" t="s">
        <v>1510</v>
      </c>
      <c r="N136" s="620">
        <v>4900000</v>
      </c>
      <c r="O136" s="597">
        <v>42767</v>
      </c>
      <c r="P136" s="598">
        <v>42917</v>
      </c>
      <c r="Q136" s="601" t="s">
        <v>110</v>
      </c>
      <c r="R136" s="601" t="s">
        <v>114</v>
      </c>
      <c r="S136" s="600" t="s">
        <v>1340</v>
      </c>
      <c r="T136" s="554" t="s">
        <v>1351</v>
      </c>
      <c r="U136" s="554" t="s">
        <v>1351</v>
      </c>
      <c r="V136" s="554" t="s">
        <v>45</v>
      </c>
      <c r="W136" s="554" t="s">
        <v>1351</v>
      </c>
      <c r="X136" s="554" t="s">
        <v>1351</v>
      </c>
      <c r="Y136" s="554" t="s">
        <v>1351</v>
      </c>
      <c r="Z136" s="554" t="s">
        <v>1351</v>
      </c>
      <c r="AA136" s="569" t="s">
        <v>1467</v>
      </c>
      <c r="AB136" s="554" t="s">
        <v>266</v>
      </c>
      <c r="AC136" s="554"/>
    </row>
    <row r="137" spans="1:29" s="577" customFormat="1" ht="80.099999999999994" customHeight="1" x14ac:dyDescent="0.2">
      <c r="A137" s="588" t="s">
        <v>1791</v>
      </c>
      <c r="B137" s="569" t="s">
        <v>1505</v>
      </c>
      <c r="C137" s="604" t="s">
        <v>1506</v>
      </c>
      <c r="D137" s="604" t="s">
        <v>1988</v>
      </c>
      <c r="E137" s="554" t="s">
        <v>1507</v>
      </c>
      <c r="F137" s="561" t="s">
        <v>1508</v>
      </c>
      <c r="G137" s="565" t="s">
        <v>1509</v>
      </c>
      <c r="H137" s="606">
        <v>39000</v>
      </c>
      <c r="I137" s="564">
        <v>40273562000</v>
      </c>
      <c r="J137" s="564" t="s">
        <v>1338</v>
      </c>
      <c r="K137" s="619">
        <v>4900000</v>
      </c>
      <c r="L137" s="620">
        <v>4900000</v>
      </c>
      <c r="M137" s="554" t="s">
        <v>1510</v>
      </c>
      <c r="N137" s="620">
        <v>4900000</v>
      </c>
      <c r="O137" s="597">
        <v>42948</v>
      </c>
      <c r="P137" s="598">
        <v>43040</v>
      </c>
      <c r="Q137" s="601" t="s">
        <v>110</v>
      </c>
      <c r="R137" s="601" t="s">
        <v>114</v>
      </c>
      <c r="S137" s="600" t="s">
        <v>1340</v>
      </c>
      <c r="T137" s="554" t="s">
        <v>1351</v>
      </c>
      <c r="U137" s="554" t="s">
        <v>1351</v>
      </c>
      <c r="V137" s="554" t="s">
        <v>45</v>
      </c>
      <c r="W137" s="554" t="s">
        <v>1351</v>
      </c>
      <c r="X137" s="554" t="s">
        <v>1351</v>
      </c>
      <c r="Y137" s="554" t="s">
        <v>1351</v>
      </c>
      <c r="Z137" s="554" t="s">
        <v>1351</v>
      </c>
      <c r="AA137" s="569" t="s">
        <v>1467</v>
      </c>
      <c r="AB137" s="554" t="s">
        <v>266</v>
      </c>
      <c r="AC137" s="554"/>
    </row>
    <row r="138" spans="1:29" s="577" customFormat="1" ht="80.099999999999994" customHeight="1" x14ac:dyDescent="0.2">
      <c r="A138" s="588" t="s">
        <v>1792</v>
      </c>
      <c r="B138" s="559" t="s">
        <v>1511</v>
      </c>
      <c r="C138" s="564" t="s">
        <v>1512</v>
      </c>
      <c r="D138" s="564" t="s">
        <v>1989</v>
      </c>
      <c r="E138" s="560" t="s">
        <v>1513</v>
      </c>
      <c r="F138" s="564">
        <v>876</v>
      </c>
      <c r="G138" s="565" t="s">
        <v>1357</v>
      </c>
      <c r="H138" s="566">
        <v>90</v>
      </c>
      <c r="I138" s="564">
        <v>40273562000</v>
      </c>
      <c r="J138" s="564" t="s">
        <v>1338</v>
      </c>
      <c r="K138" s="621">
        <v>1150000</v>
      </c>
      <c r="L138" s="620">
        <v>1150000</v>
      </c>
      <c r="M138" s="561" t="s">
        <v>1514</v>
      </c>
      <c r="N138" s="620">
        <v>1150000</v>
      </c>
      <c r="O138" s="567">
        <v>42736</v>
      </c>
      <c r="P138" s="562">
        <v>42887</v>
      </c>
      <c r="Q138" s="568" t="s">
        <v>110</v>
      </c>
      <c r="R138" s="568" t="s">
        <v>114</v>
      </c>
      <c r="S138" s="600" t="s">
        <v>1340</v>
      </c>
      <c r="T138" s="560" t="s">
        <v>1351</v>
      </c>
      <c r="U138" s="560" t="s">
        <v>1351</v>
      </c>
      <c r="V138" s="560" t="s">
        <v>54</v>
      </c>
      <c r="W138" s="560" t="s">
        <v>1351</v>
      </c>
      <c r="X138" s="560" t="s">
        <v>1351</v>
      </c>
      <c r="Y138" s="560" t="s">
        <v>1351</v>
      </c>
      <c r="Z138" s="560" t="s">
        <v>1351</v>
      </c>
      <c r="AA138" s="569" t="s">
        <v>1467</v>
      </c>
      <c r="AB138" s="655" t="s">
        <v>2071</v>
      </c>
      <c r="AC138" s="554"/>
    </row>
    <row r="139" spans="1:29" s="577" customFormat="1" ht="80.099999999999994" customHeight="1" x14ac:dyDescent="0.2">
      <c r="A139" s="588" t="s">
        <v>1793</v>
      </c>
      <c r="B139" s="559" t="s">
        <v>1515</v>
      </c>
      <c r="C139" s="604" t="s">
        <v>1516</v>
      </c>
      <c r="D139" s="604" t="s">
        <v>1990</v>
      </c>
      <c r="E139" s="554" t="s">
        <v>1513</v>
      </c>
      <c r="F139" s="564">
        <v>778</v>
      </c>
      <c r="G139" s="565" t="s">
        <v>1517</v>
      </c>
      <c r="H139" s="606">
        <v>1500</v>
      </c>
      <c r="I139" s="564">
        <v>40273562000</v>
      </c>
      <c r="J139" s="564" t="s">
        <v>1338</v>
      </c>
      <c r="K139" s="619">
        <v>500000</v>
      </c>
      <c r="L139" s="620">
        <v>500000</v>
      </c>
      <c r="M139" s="581" t="s">
        <v>1518</v>
      </c>
      <c r="N139" s="620">
        <v>500000</v>
      </c>
      <c r="O139" s="567">
        <v>42736</v>
      </c>
      <c r="P139" s="562">
        <v>42887</v>
      </c>
      <c r="Q139" s="601" t="s">
        <v>110</v>
      </c>
      <c r="R139" s="601" t="s">
        <v>114</v>
      </c>
      <c r="S139" s="600" t="s">
        <v>1340</v>
      </c>
      <c r="T139" s="554" t="s">
        <v>1351</v>
      </c>
      <c r="U139" s="554" t="s">
        <v>1351</v>
      </c>
      <c r="V139" s="554" t="s">
        <v>60</v>
      </c>
      <c r="W139" s="554" t="s">
        <v>1351</v>
      </c>
      <c r="X139" s="554" t="s">
        <v>1351</v>
      </c>
      <c r="Y139" s="554" t="s">
        <v>1351</v>
      </c>
      <c r="Z139" s="554" t="s">
        <v>1351</v>
      </c>
      <c r="AA139" s="569" t="s">
        <v>1467</v>
      </c>
      <c r="AB139" s="554" t="s">
        <v>266</v>
      </c>
      <c r="AC139" s="554"/>
    </row>
    <row r="140" spans="1:29" s="577" customFormat="1" ht="80.099999999999994" customHeight="1" x14ac:dyDescent="0.2">
      <c r="A140" s="588" t="s">
        <v>1794</v>
      </c>
      <c r="B140" s="559" t="s">
        <v>1515</v>
      </c>
      <c r="C140" s="604" t="s">
        <v>1516</v>
      </c>
      <c r="D140" s="604" t="s">
        <v>1991</v>
      </c>
      <c r="E140" s="554" t="s">
        <v>1513</v>
      </c>
      <c r="F140" s="564">
        <v>778</v>
      </c>
      <c r="G140" s="565" t="s">
        <v>1517</v>
      </c>
      <c r="H140" s="606">
        <v>1600</v>
      </c>
      <c r="I140" s="564">
        <v>40273562000</v>
      </c>
      <c r="J140" s="564" t="s">
        <v>1338</v>
      </c>
      <c r="K140" s="619">
        <v>540000</v>
      </c>
      <c r="L140" s="620">
        <v>540000</v>
      </c>
      <c r="M140" s="581" t="s">
        <v>1518</v>
      </c>
      <c r="N140" s="620">
        <v>540000</v>
      </c>
      <c r="O140" s="597">
        <v>42917</v>
      </c>
      <c r="P140" s="598">
        <v>43070</v>
      </c>
      <c r="Q140" s="601" t="s">
        <v>110</v>
      </c>
      <c r="R140" s="601" t="s">
        <v>114</v>
      </c>
      <c r="S140" s="600" t="s">
        <v>1340</v>
      </c>
      <c r="T140" s="554" t="s">
        <v>1351</v>
      </c>
      <c r="U140" s="554" t="s">
        <v>1351</v>
      </c>
      <c r="V140" s="554" t="s">
        <v>60</v>
      </c>
      <c r="W140" s="554" t="s">
        <v>1351</v>
      </c>
      <c r="X140" s="554" t="s">
        <v>1351</v>
      </c>
      <c r="Y140" s="554" t="s">
        <v>1351</v>
      </c>
      <c r="Z140" s="554" t="s">
        <v>1351</v>
      </c>
      <c r="AA140" s="569" t="s">
        <v>1467</v>
      </c>
      <c r="AB140" s="554" t="s">
        <v>266</v>
      </c>
      <c r="AC140" s="554"/>
    </row>
    <row r="141" spans="1:29" s="577" customFormat="1" ht="80.099999999999994" customHeight="1" x14ac:dyDescent="0.2">
      <c r="A141" s="588" t="s">
        <v>1795</v>
      </c>
      <c r="B141" s="559" t="s">
        <v>1519</v>
      </c>
      <c r="C141" s="559" t="s">
        <v>1520</v>
      </c>
      <c r="D141" s="604" t="s">
        <v>1992</v>
      </c>
      <c r="E141" s="554" t="s">
        <v>1521</v>
      </c>
      <c r="F141" s="564">
        <v>168</v>
      </c>
      <c r="G141" s="565" t="s">
        <v>1522</v>
      </c>
      <c r="H141" s="613">
        <v>7.5</v>
      </c>
      <c r="I141" s="564">
        <v>40273562000</v>
      </c>
      <c r="J141" s="560" t="s">
        <v>1338</v>
      </c>
      <c r="K141" s="619">
        <v>3200000</v>
      </c>
      <c r="L141" s="620">
        <v>3200000</v>
      </c>
      <c r="M141" s="554" t="s">
        <v>1510</v>
      </c>
      <c r="N141" s="620">
        <v>3200000</v>
      </c>
      <c r="O141" s="597">
        <v>42736</v>
      </c>
      <c r="P141" s="598">
        <v>42856</v>
      </c>
      <c r="Q141" s="601" t="s">
        <v>110</v>
      </c>
      <c r="R141" s="601" t="s">
        <v>114</v>
      </c>
      <c r="S141" s="600" t="s">
        <v>1340</v>
      </c>
      <c r="T141" s="560" t="s">
        <v>1351</v>
      </c>
      <c r="U141" s="554" t="s">
        <v>1351</v>
      </c>
      <c r="V141" s="560" t="s">
        <v>45</v>
      </c>
      <c r="W141" s="554" t="s">
        <v>1351</v>
      </c>
      <c r="X141" s="554" t="s">
        <v>1351</v>
      </c>
      <c r="Y141" s="554" t="s">
        <v>1351</v>
      </c>
      <c r="Z141" s="554" t="s">
        <v>1351</v>
      </c>
      <c r="AA141" s="569" t="s">
        <v>1467</v>
      </c>
      <c r="AB141" s="554" t="s">
        <v>266</v>
      </c>
      <c r="AC141" s="554"/>
    </row>
    <row r="142" spans="1:29" s="577" customFormat="1" ht="80.099999999999994" customHeight="1" x14ac:dyDescent="0.2">
      <c r="A142" s="588" t="s">
        <v>1796</v>
      </c>
      <c r="B142" s="559" t="s">
        <v>1519</v>
      </c>
      <c r="C142" s="559" t="s">
        <v>1520</v>
      </c>
      <c r="D142" s="604" t="s">
        <v>1993</v>
      </c>
      <c r="E142" s="554" t="s">
        <v>1521</v>
      </c>
      <c r="F142" s="564">
        <v>168</v>
      </c>
      <c r="G142" s="565" t="s">
        <v>1522</v>
      </c>
      <c r="H142" s="613">
        <v>6.5</v>
      </c>
      <c r="I142" s="564">
        <v>40273562000</v>
      </c>
      <c r="J142" s="564" t="s">
        <v>1338</v>
      </c>
      <c r="K142" s="619">
        <v>3000000</v>
      </c>
      <c r="L142" s="620">
        <v>3000000</v>
      </c>
      <c r="M142" s="554" t="s">
        <v>1510</v>
      </c>
      <c r="N142" s="620">
        <v>3000000</v>
      </c>
      <c r="O142" s="597">
        <v>42887</v>
      </c>
      <c r="P142" s="598">
        <v>43040</v>
      </c>
      <c r="Q142" s="601" t="s">
        <v>110</v>
      </c>
      <c r="R142" s="601" t="s">
        <v>114</v>
      </c>
      <c r="S142" s="600" t="s">
        <v>1340</v>
      </c>
      <c r="T142" s="554" t="s">
        <v>1351</v>
      </c>
      <c r="U142" s="554" t="s">
        <v>1351</v>
      </c>
      <c r="V142" s="554" t="s">
        <v>45</v>
      </c>
      <c r="W142" s="554" t="s">
        <v>1351</v>
      </c>
      <c r="X142" s="554" t="s">
        <v>1351</v>
      </c>
      <c r="Y142" s="554" t="s">
        <v>1351</v>
      </c>
      <c r="Z142" s="554" t="s">
        <v>1351</v>
      </c>
      <c r="AA142" s="569" t="s">
        <v>1467</v>
      </c>
      <c r="AB142" s="554" t="s">
        <v>266</v>
      </c>
      <c r="AC142" s="554"/>
    </row>
    <row r="143" spans="1:29" s="577" customFormat="1" ht="80.099999999999994" customHeight="1" x14ac:dyDescent="0.2">
      <c r="A143" s="588" t="s">
        <v>1797</v>
      </c>
      <c r="B143" s="559" t="s">
        <v>1523</v>
      </c>
      <c r="C143" s="559" t="s">
        <v>1523</v>
      </c>
      <c r="D143" s="604" t="s">
        <v>1994</v>
      </c>
      <c r="E143" s="554" t="s">
        <v>1521</v>
      </c>
      <c r="F143" s="564">
        <v>168</v>
      </c>
      <c r="G143" s="565" t="s">
        <v>1522</v>
      </c>
      <c r="H143" s="623">
        <v>7</v>
      </c>
      <c r="I143" s="564">
        <v>40273562000</v>
      </c>
      <c r="J143" s="564" t="s">
        <v>1338</v>
      </c>
      <c r="K143" s="619">
        <v>2000000</v>
      </c>
      <c r="L143" s="620">
        <v>2000000</v>
      </c>
      <c r="M143" s="554" t="s">
        <v>1510</v>
      </c>
      <c r="N143" s="620">
        <v>2000000</v>
      </c>
      <c r="O143" s="597">
        <v>42736</v>
      </c>
      <c r="P143" s="598">
        <v>42856</v>
      </c>
      <c r="Q143" s="601" t="s">
        <v>110</v>
      </c>
      <c r="R143" s="601" t="s">
        <v>114</v>
      </c>
      <c r="S143" s="600" t="s">
        <v>1340</v>
      </c>
      <c r="T143" s="554" t="s">
        <v>1351</v>
      </c>
      <c r="U143" s="554" t="s">
        <v>1351</v>
      </c>
      <c r="V143" s="554" t="s">
        <v>45</v>
      </c>
      <c r="W143" s="554" t="s">
        <v>1351</v>
      </c>
      <c r="X143" s="554" t="s">
        <v>1351</v>
      </c>
      <c r="Y143" s="554" t="s">
        <v>1351</v>
      </c>
      <c r="Z143" s="554" t="s">
        <v>1351</v>
      </c>
      <c r="AA143" s="569" t="s">
        <v>1467</v>
      </c>
      <c r="AB143" s="554" t="s">
        <v>266</v>
      </c>
      <c r="AC143" s="554"/>
    </row>
    <row r="144" spans="1:29" s="577" customFormat="1" ht="80.099999999999994" customHeight="1" x14ac:dyDescent="0.2">
      <c r="A144" s="588" t="s">
        <v>1798</v>
      </c>
      <c r="B144" s="559" t="s">
        <v>1523</v>
      </c>
      <c r="C144" s="559" t="s">
        <v>1523</v>
      </c>
      <c r="D144" s="604" t="s">
        <v>1995</v>
      </c>
      <c r="E144" s="554" t="s">
        <v>1521</v>
      </c>
      <c r="F144" s="564">
        <v>168</v>
      </c>
      <c r="G144" s="565" t="s">
        <v>1522</v>
      </c>
      <c r="H144" s="623">
        <v>9</v>
      </c>
      <c r="I144" s="564">
        <v>40273562000</v>
      </c>
      <c r="J144" s="564" t="s">
        <v>1338</v>
      </c>
      <c r="K144" s="619">
        <v>2500000</v>
      </c>
      <c r="L144" s="620">
        <v>2500000</v>
      </c>
      <c r="M144" s="554" t="s">
        <v>1510</v>
      </c>
      <c r="N144" s="620">
        <v>2500000</v>
      </c>
      <c r="O144" s="597">
        <v>42887</v>
      </c>
      <c r="P144" s="598">
        <v>43040</v>
      </c>
      <c r="Q144" s="601" t="s">
        <v>110</v>
      </c>
      <c r="R144" s="601" t="s">
        <v>114</v>
      </c>
      <c r="S144" s="600" t="s">
        <v>1340</v>
      </c>
      <c r="T144" s="554" t="s">
        <v>1351</v>
      </c>
      <c r="U144" s="554" t="s">
        <v>1351</v>
      </c>
      <c r="V144" s="554" t="s">
        <v>45</v>
      </c>
      <c r="W144" s="554" t="s">
        <v>1351</v>
      </c>
      <c r="X144" s="554" t="s">
        <v>1351</v>
      </c>
      <c r="Y144" s="554" t="s">
        <v>1351</v>
      </c>
      <c r="Z144" s="554" t="s">
        <v>1351</v>
      </c>
      <c r="AA144" s="569" t="s">
        <v>1467</v>
      </c>
      <c r="AB144" s="554" t="s">
        <v>266</v>
      </c>
      <c r="AC144" s="554"/>
    </row>
    <row r="145" spans="1:29" s="577" customFormat="1" ht="80.099999999999994" customHeight="1" x14ac:dyDescent="0.2">
      <c r="A145" s="588" t="s">
        <v>1799</v>
      </c>
      <c r="B145" s="615" t="s">
        <v>1524</v>
      </c>
      <c r="C145" s="615" t="s">
        <v>1525</v>
      </c>
      <c r="D145" s="624" t="s">
        <v>1996</v>
      </c>
      <c r="E145" s="624" t="s">
        <v>1526</v>
      </c>
      <c r="F145" s="615">
        <v>876</v>
      </c>
      <c r="G145" s="615" t="s">
        <v>1357</v>
      </c>
      <c r="H145" s="625">
        <v>5200</v>
      </c>
      <c r="I145" s="615">
        <v>40273562000</v>
      </c>
      <c r="J145" s="615" t="s">
        <v>1338</v>
      </c>
      <c r="K145" s="616">
        <v>1100000</v>
      </c>
      <c r="L145" s="620">
        <v>1100000</v>
      </c>
      <c r="M145" s="615" t="s">
        <v>1527</v>
      </c>
      <c r="N145" s="620">
        <v>1100000</v>
      </c>
      <c r="O145" s="597">
        <v>42736</v>
      </c>
      <c r="P145" s="598">
        <v>42856</v>
      </c>
      <c r="Q145" s="615" t="s">
        <v>110</v>
      </c>
      <c r="R145" s="615" t="s">
        <v>114</v>
      </c>
      <c r="S145" s="600" t="s">
        <v>1340</v>
      </c>
      <c r="T145" s="615" t="s">
        <v>1351</v>
      </c>
      <c r="U145" s="615" t="s">
        <v>1351</v>
      </c>
      <c r="V145" s="615" t="s">
        <v>60</v>
      </c>
      <c r="W145" s="615" t="s">
        <v>1351</v>
      </c>
      <c r="X145" s="615" t="s">
        <v>1351</v>
      </c>
      <c r="Y145" s="615" t="s">
        <v>1351</v>
      </c>
      <c r="Z145" s="615" t="s">
        <v>1351</v>
      </c>
      <c r="AA145" s="569" t="s">
        <v>1467</v>
      </c>
      <c r="AB145" s="554" t="s">
        <v>266</v>
      </c>
      <c r="AC145" s="615"/>
    </row>
    <row r="146" spans="1:29" s="577" customFormat="1" ht="80.099999999999994" customHeight="1" x14ac:dyDescent="0.2">
      <c r="A146" s="588" t="s">
        <v>1800</v>
      </c>
      <c r="B146" s="615" t="s">
        <v>1524</v>
      </c>
      <c r="C146" s="615" t="s">
        <v>1525</v>
      </c>
      <c r="D146" s="624" t="s">
        <v>1997</v>
      </c>
      <c r="E146" s="624" t="s">
        <v>1528</v>
      </c>
      <c r="F146" s="615">
        <v>876</v>
      </c>
      <c r="G146" s="615" t="s">
        <v>1357</v>
      </c>
      <c r="H146" s="625">
        <v>5000</v>
      </c>
      <c r="I146" s="615">
        <v>40273562000</v>
      </c>
      <c r="J146" s="615" t="s">
        <v>1338</v>
      </c>
      <c r="K146" s="616">
        <v>800000</v>
      </c>
      <c r="L146" s="620">
        <v>800000</v>
      </c>
      <c r="M146" s="615" t="s">
        <v>1527</v>
      </c>
      <c r="N146" s="620">
        <v>800000</v>
      </c>
      <c r="O146" s="626">
        <v>42948</v>
      </c>
      <c r="P146" s="627">
        <v>43070</v>
      </c>
      <c r="Q146" s="615" t="s">
        <v>110</v>
      </c>
      <c r="R146" s="615" t="s">
        <v>114</v>
      </c>
      <c r="S146" s="600" t="s">
        <v>1340</v>
      </c>
      <c r="T146" s="615" t="s">
        <v>1351</v>
      </c>
      <c r="U146" s="615" t="s">
        <v>1351</v>
      </c>
      <c r="V146" s="615" t="s">
        <v>60</v>
      </c>
      <c r="W146" s="615" t="s">
        <v>1351</v>
      </c>
      <c r="X146" s="615" t="s">
        <v>1351</v>
      </c>
      <c r="Y146" s="615" t="s">
        <v>1351</v>
      </c>
      <c r="Z146" s="615" t="s">
        <v>1351</v>
      </c>
      <c r="AA146" s="569" t="s">
        <v>1467</v>
      </c>
      <c r="AB146" s="554" t="s">
        <v>266</v>
      </c>
      <c r="AC146" s="615"/>
    </row>
    <row r="147" spans="1:29" s="577" customFormat="1" ht="80.099999999999994" customHeight="1" x14ac:dyDescent="0.2">
      <c r="A147" s="588" t="s">
        <v>1801</v>
      </c>
      <c r="B147" s="569" t="s">
        <v>1529</v>
      </c>
      <c r="C147" s="604" t="s">
        <v>1530</v>
      </c>
      <c r="D147" s="604" t="s">
        <v>1998</v>
      </c>
      <c r="E147" s="554" t="s">
        <v>1531</v>
      </c>
      <c r="F147" s="561" t="s">
        <v>1532</v>
      </c>
      <c r="G147" s="565" t="s">
        <v>1465</v>
      </c>
      <c r="H147" s="613">
        <v>52</v>
      </c>
      <c r="I147" s="564">
        <v>40273562000</v>
      </c>
      <c r="J147" s="564" t="s">
        <v>1338</v>
      </c>
      <c r="K147" s="616">
        <v>968600</v>
      </c>
      <c r="L147" s="620">
        <v>968600</v>
      </c>
      <c r="M147" s="554" t="s">
        <v>1510</v>
      </c>
      <c r="N147" s="620">
        <v>968600</v>
      </c>
      <c r="O147" s="597">
        <v>42736</v>
      </c>
      <c r="P147" s="598">
        <v>43070</v>
      </c>
      <c r="Q147" s="601" t="s">
        <v>112</v>
      </c>
      <c r="R147" s="554" t="s">
        <v>115</v>
      </c>
      <c r="S147" s="554" t="s">
        <v>100</v>
      </c>
      <c r="T147" s="554" t="s">
        <v>1351</v>
      </c>
      <c r="U147" s="554" t="s">
        <v>1351</v>
      </c>
      <c r="V147" s="615" t="s">
        <v>60</v>
      </c>
      <c r="W147" s="601" t="s">
        <v>66</v>
      </c>
      <c r="X147" s="554">
        <v>7830000970</v>
      </c>
      <c r="Y147" s="554" t="s">
        <v>1533</v>
      </c>
      <c r="Z147" s="617">
        <v>968600</v>
      </c>
      <c r="AA147" s="569" t="s">
        <v>1467</v>
      </c>
      <c r="AB147" s="554" t="s">
        <v>266</v>
      </c>
      <c r="AC147" s="554"/>
    </row>
    <row r="148" spans="1:29" s="577" customFormat="1" ht="80.099999999999994" customHeight="1" x14ac:dyDescent="0.2">
      <c r="A148" s="588" t="s">
        <v>1802</v>
      </c>
      <c r="B148" s="555" t="s">
        <v>1534</v>
      </c>
      <c r="C148" s="555" t="s">
        <v>1535</v>
      </c>
      <c r="D148" s="546" t="s">
        <v>2069</v>
      </c>
      <c r="E148" s="546" t="s">
        <v>1536</v>
      </c>
      <c r="F148" s="539">
        <v>876</v>
      </c>
      <c r="G148" s="546" t="s">
        <v>1348</v>
      </c>
      <c r="H148" s="555">
        <v>1</v>
      </c>
      <c r="I148" s="546">
        <v>40273562000</v>
      </c>
      <c r="J148" s="550" t="s">
        <v>1537</v>
      </c>
      <c r="K148" s="556">
        <v>2000000</v>
      </c>
      <c r="L148" s="651">
        <v>2000000</v>
      </c>
      <c r="M148" s="557" t="s">
        <v>1538</v>
      </c>
      <c r="N148" s="651">
        <v>2000000</v>
      </c>
      <c r="O148" s="545">
        <v>42795</v>
      </c>
      <c r="P148" s="558">
        <v>43132</v>
      </c>
      <c r="Q148" s="546" t="s">
        <v>102</v>
      </c>
      <c r="R148" s="546" t="s">
        <v>114</v>
      </c>
      <c r="S148" s="600" t="s">
        <v>1340</v>
      </c>
      <c r="T148" s="553" t="s">
        <v>100</v>
      </c>
      <c r="U148" s="553" t="s">
        <v>100</v>
      </c>
      <c r="V148" s="539" t="s">
        <v>60</v>
      </c>
      <c r="W148" s="554" t="s">
        <v>100</v>
      </c>
      <c r="X148" s="554" t="s">
        <v>100</v>
      </c>
      <c r="Y148" s="554" t="s">
        <v>100</v>
      </c>
      <c r="Z148" s="554" t="s">
        <v>100</v>
      </c>
      <c r="AA148" s="553" t="s">
        <v>1539</v>
      </c>
      <c r="AB148" s="546" t="s">
        <v>266</v>
      </c>
      <c r="AC148" s="628"/>
    </row>
    <row r="149" spans="1:29" s="635" customFormat="1" ht="80.099999999999994" customHeight="1" x14ac:dyDescent="0.2">
      <c r="A149" s="588" t="s">
        <v>1803</v>
      </c>
      <c r="B149" s="539" t="s">
        <v>1540</v>
      </c>
      <c r="C149" s="539" t="s">
        <v>1541</v>
      </c>
      <c r="D149" s="550" t="s">
        <v>1999</v>
      </c>
      <c r="E149" s="551" t="s">
        <v>1542</v>
      </c>
      <c r="F149" s="539">
        <v>876</v>
      </c>
      <c r="G149" s="546" t="s">
        <v>1348</v>
      </c>
      <c r="H149" s="546">
        <v>2</v>
      </c>
      <c r="I149" s="589">
        <v>40273562000</v>
      </c>
      <c r="J149" s="546" t="s">
        <v>1338</v>
      </c>
      <c r="K149" s="556">
        <v>160000</v>
      </c>
      <c r="L149" s="591">
        <v>320000</v>
      </c>
      <c r="M149" s="539" t="s">
        <v>1543</v>
      </c>
      <c r="N149" s="591">
        <v>320000</v>
      </c>
      <c r="O149" s="542">
        <v>42767</v>
      </c>
      <c r="P149" s="542">
        <v>44228</v>
      </c>
      <c r="Q149" s="539" t="s">
        <v>112</v>
      </c>
      <c r="R149" s="539" t="s">
        <v>115</v>
      </c>
      <c r="S149" s="546" t="s">
        <v>100</v>
      </c>
      <c r="T149" s="546" t="s">
        <v>1351</v>
      </c>
      <c r="U149" s="546" t="s">
        <v>1351</v>
      </c>
      <c r="V149" s="539" t="s">
        <v>1544</v>
      </c>
      <c r="W149" s="682" t="s">
        <v>89</v>
      </c>
      <c r="X149" s="539">
        <v>7804040077</v>
      </c>
      <c r="Y149" s="539" t="s">
        <v>1545</v>
      </c>
      <c r="Z149" s="591">
        <v>800000</v>
      </c>
      <c r="AA149" s="539" t="s">
        <v>1546</v>
      </c>
      <c r="AB149" s="539" t="s">
        <v>266</v>
      </c>
      <c r="AC149" s="634"/>
    </row>
    <row r="150" spans="1:29" s="635" customFormat="1" ht="80.099999999999994" customHeight="1" x14ac:dyDescent="0.2">
      <c r="A150" s="588" t="s">
        <v>1804</v>
      </c>
      <c r="B150" s="539" t="s">
        <v>1547</v>
      </c>
      <c r="C150" s="539" t="s">
        <v>1548</v>
      </c>
      <c r="D150" s="550" t="s">
        <v>2000</v>
      </c>
      <c r="E150" s="551" t="s">
        <v>1542</v>
      </c>
      <c r="F150" s="539">
        <v>876</v>
      </c>
      <c r="G150" s="539" t="s">
        <v>1348</v>
      </c>
      <c r="H150" s="539">
        <v>2</v>
      </c>
      <c r="I150" s="550">
        <v>40273562000</v>
      </c>
      <c r="J150" s="539" t="s">
        <v>1338</v>
      </c>
      <c r="K150" s="541">
        <v>400000</v>
      </c>
      <c r="L150" s="591">
        <v>800000</v>
      </c>
      <c r="M150" s="539" t="s">
        <v>1543</v>
      </c>
      <c r="N150" s="591">
        <v>800000</v>
      </c>
      <c r="O150" s="542">
        <v>42979</v>
      </c>
      <c r="P150" s="542">
        <v>44805</v>
      </c>
      <c r="Q150" s="539" t="s">
        <v>112</v>
      </c>
      <c r="R150" s="539" t="s">
        <v>115</v>
      </c>
      <c r="S150" s="546" t="s">
        <v>100</v>
      </c>
      <c r="T150" s="546" t="s">
        <v>1351</v>
      </c>
      <c r="U150" s="546" t="s">
        <v>1351</v>
      </c>
      <c r="V150" s="539" t="s">
        <v>1544</v>
      </c>
      <c r="W150" s="682" t="s">
        <v>89</v>
      </c>
      <c r="X150" s="684">
        <v>7804040077</v>
      </c>
      <c r="Y150" s="684" t="s">
        <v>1545</v>
      </c>
      <c r="Z150" s="591">
        <v>250000</v>
      </c>
      <c r="AA150" s="539" t="s">
        <v>1546</v>
      </c>
      <c r="AB150" s="539" t="s">
        <v>266</v>
      </c>
      <c r="AC150" s="539" t="s">
        <v>1549</v>
      </c>
    </row>
    <row r="151" spans="1:29" s="635" customFormat="1" ht="80.099999999999994" customHeight="1" x14ac:dyDescent="0.2">
      <c r="A151" s="588" t="s">
        <v>1805</v>
      </c>
      <c r="B151" s="539" t="s">
        <v>1547</v>
      </c>
      <c r="C151" s="539" t="s">
        <v>1548</v>
      </c>
      <c r="D151" s="550" t="s">
        <v>2001</v>
      </c>
      <c r="E151" s="551" t="s">
        <v>1542</v>
      </c>
      <c r="F151" s="539">
        <v>876</v>
      </c>
      <c r="G151" s="539" t="s">
        <v>1348</v>
      </c>
      <c r="H151" s="539">
        <v>1</v>
      </c>
      <c r="I151" s="550">
        <v>40273562000</v>
      </c>
      <c r="J151" s="539" t="s">
        <v>1338</v>
      </c>
      <c r="K151" s="541">
        <v>250000</v>
      </c>
      <c r="L151" s="591">
        <v>250000</v>
      </c>
      <c r="M151" s="539" t="s">
        <v>1543</v>
      </c>
      <c r="N151" s="591">
        <v>250000</v>
      </c>
      <c r="O151" s="542">
        <v>42979</v>
      </c>
      <c r="P151" s="542">
        <v>44075</v>
      </c>
      <c r="Q151" s="539" t="s">
        <v>112</v>
      </c>
      <c r="R151" s="539" t="s">
        <v>115</v>
      </c>
      <c r="S151" s="546" t="s">
        <v>100</v>
      </c>
      <c r="T151" s="546" t="s">
        <v>1351</v>
      </c>
      <c r="U151" s="546" t="s">
        <v>1351</v>
      </c>
      <c r="V151" s="539" t="s">
        <v>1544</v>
      </c>
      <c r="W151" s="682" t="s">
        <v>89</v>
      </c>
      <c r="X151" s="684">
        <v>7804040077</v>
      </c>
      <c r="Y151" s="685" t="s">
        <v>1545</v>
      </c>
      <c r="Z151" s="591">
        <v>160000</v>
      </c>
      <c r="AA151" s="539" t="s">
        <v>1546</v>
      </c>
      <c r="AB151" s="539" t="s">
        <v>266</v>
      </c>
      <c r="AC151" s="539" t="s">
        <v>1549</v>
      </c>
    </row>
    <row r="152" spans="1:29" s="635" customFormat="1" ht="80.099999999999994" customHeight="1" x14ac:dyDescent="0.2">
      <c r="A152" s="588" t="s">
        <v>1806</v>
      </c>
      <c r="B152" s="539" t="s">
        <v>1550</v>
      </c>
      <c r="C152" s="539" t="s">
        <v>1551</v>
      </c>
      <c r="D152" s="550" t="s">
        <v>2002</v>
      </c>
      <c r="E152" s="551" t="s">
        <v>1542</v>
      </c>
      <c r="F152" s="539">
        <v>876</v>
      </c>
      <c r="G152" s="539" t="s">
        <v>1348</v>
      </c>
      <c r="H152" s="539">
        <v>1</v>
      </c>
      <c r="I152" s="550">
        <v>40273562000</v>
      </c>
      <c r="J152" s="539" t="s">
        <v>1338</v>
      </c>
      <c r="K152" s="541">
        <v>160000</v>
      </c>
      <c r="L152" s="591">
        <v>160000</v>
      </c>
      <c r="M152" s="539" t="s">
        <v>1543</v>
      </c>
      <c r="N152" s="591">
        <v>160000</v>
      </c>
      <c r="O152" s="542">
        <v>42979</v>
      </c>
      <c r="P152" s="542">
        <v>44440</v>
      </c>
      <c r="Q152" s="539" t="s">
        <v>112</v>
      </c>
      <c r="R152" s="539" t="s">
        <v>115</v>
      </c>
      <c r="S152" s="546" t="s">
        <v>100</v>
      </c>
      <c r="T152" s="546" t="s">
        <v>1351</v>
      </c>
      <c r="U152" s="546" t="s">
        <v>1351</v>
      </c>
      <c r="V152" s="539" t="s">
        <v>1544</v>
      </c>
      <c r="W152" s="682" t="s">
        <v>89</v>
      </c>
      <c r="X152" s="684">
        <v>7804040077</v>
      </c>
      <c r="Y152" s="685" t="s">
        <v>1545</v>
      </c>
      <c r="Z152" s="591">
        <v>500000</v>
      </c>
      <c r="AA152" s="539" t="s">
        <v>1546</v>
      </c>
      <c r="AB152" s="539" t="s">
        <v>266</v>
      </c>
      <c r="AC152" s="539" t="s">
        <v>1549</v>
      </c>
    </row>
    <row r="153" spans="1:29" s="635" customFormat="1" ht="80.099999999999994" customHeight="1" x14ac:dyDescent="0.2">
      <c r="A153" s="588" t="s">
        <v>1807</v>
      </c>
      <c r="B153" s="539" t="s">
        <v>1552</v>
      </c>
      <c r="C153" s="539" t="s">
        <v>1553</v>
      </c>
      <c r="D153" s="550" t="s">
        <v>2003</v>
      </c>
      <c r="E153" s="551" t="s">
        <v>1554</v>
      </c>
      <c r="F153" s="539">
        <v>876</v>
      </c>
      <c r="G153" s="539" t="s">
        <v>1348</v>
      </c>
      <c r="H153" s="539">
        <v>1</v>
      </c>
      <c r="I153" s="550">
        <v>40273562000</v>
      </c>
      <c r="J153" s="539" t="s">
        <v>1338</v>
      </c>
      <c r="K153" s="541">
        <v>500000</v>
      </c>
      <c r="L153" s="591">
        <v>500000</v>
      </c>
      <c r="M153" s="539" t="s">
        <v>1543</v>
      </c>
      <c r="N153" s="591">
        <v>500000</v>
      </c>
      <c r="O153" s="542">
        <v>42826</v>
      </c>
      <c r="P153" s="542">
        <v>43070</v>
      </c>
      <c r="Q153" s="539" t="s">
        <v>112</v>
      </c>
      <c r="R153" s="539" t="s">
        <v>115</v>
      </c>
      <c r="S153" s="546" t="s">
        <v>100</v>
      </c>
      <c r="T153" s="546" t="s">
        <v>1351</v>
      </c>
      <c r="U153" s="546" t="s">
        <v>1351</v>
      </c>
      <c r="V153" s="539" t="s">
        <v>1544</v>
      </c>
      <c r="W153" s="682" t="s">
        <v>89</v>
      </c>
      <c r="X153" s="684">
        <v>7804040077</v>
      </c>
      <c r="Y153" s="685" t="s">
        <v>1545</v>
      </c>
      <c r="Z153" s="591">
        <v>300000</v>
      </c>
      <c r="AA153" s="539" t="s">
        <v>1546</v>
      </c>
      <c r="AB153" s="539" t="s">
        <v>266</v>
      </c>
      <c r="AC153" s="539" t="s">
        <v>1549</v>
      </c>
    </row>
    <row r="154" spans="1:29" s="635" customFormat="1" ht="80.099999999999994" customHeight="1" x14ac:dyDescent="0.2">
      <c r="A154" s="588" t="s">
        <v>1808</v>
      </c>
      <c r="B154" s="539" t="s">
        <v>1555</v>
      </c>
      <c r="C154" s="539" t="s">
        <v>1556</v>
      </c>
      <c r="D154" s="550" t="s">
        <v>2004</v>
      </c>
      <c r="E154" s="551" t="s">
        <v>1557</v>
      </c>
      <c r="F154" s="539">
        <v>876</v>
      </c>
      <c r="G154" s="539" t="s">
        <v>1348</v>
      </c>
      <c r="H154" s="539">
        <v>1</v>
      </c>
      <c r="I154" s="550">
        <v>40273562000</v>
      </c>
      <c r="J154" s="539" t="s">
        <v>1338</v>
      </c>
      <c r="K154" s="541">
        <v>300000</v>
      </c>
      <c r="L154" s="591">
        <v>300000</v>
      </c>
      <c r="M154" s="539" t="s">
        <v>1558</v>
      </c>
      <c r="N154" s="591">
        <v>300000</v>
      </c>
      <c r="O154" s="542">
        <v>42979</v>
      </c>
      <c r="P154" s="542">
        <v>43070</v>
      </c>
      <c r="Q154" s="546" t="s">
        <v>108</v>
      </c>
      <c r="R154" s="539" t="s">
        <v>115</v>
      </c>
      <c r="S154" s="546" t="s">
        <v>100</v>
      </c>
      <c r="T154" s="546" t="s">
        <v>1351</v>
      </c>
      <c r="U154" s="546" t="s">
        <v>1351</v>
      </c>
      <c r="V154" s="539" t="s">
        <v>1544</v>
      </c>
      <c r="W154" s="682" t="s">
        <v>89</v>
      </c>
      <c r="X154" s="684">
        <v>7809003047</v>
      </c>
      <c r="Y154" s="685" t="s">
        <v>2068</v>
      </c>
      <c r="Z154" s="546" t="s">
        <v>1351</v>
      </c>
      <c r="AA154" s="539" t="s">
        <v>1546</v>
      </c>
      <c r="AB154" s="539" t="s">
        <v>266</v>
      </c>
      <c r="AC154" s="539" t="s">
        <v>1559</v>
      </c>
    </row>
    <row r="155" spans="1:29" s="577" customFormat="1" ht="80.099999999999994" customHeight="1" x14ac:dyDescent="0.2">
      <c r="A155" s="588" t="s">
        <v>1809</v>
      </c>
      <c r="B155" s="546" t="s">
        <v>1560</v>
      </c>
      <c r="C155" s="546" t="s">
        <v>1561</v>
      </c>
      <c r="D155" s="546" t="s">
        <v>2005</v>
      </c>
      <c r="E155" s="546" t="s">
        <v>1562</v>
      </c>
      <c r="F155" s="546">
        <v>876</v>
      </c>
      <c r="G155" s="546" t="s">
        <v>1563</v>
      </c>
      <c r="H155" s="546">
        <v>60</v>
      </c>
      <c r="I155" s="546">
        <v>40273562003</v>
      </c>
      <c r="J155" s="546" t="s">
        <v>1338</v>
      </c>
      <c r="K155" s="556">
        <v>600000</v>
      </c>
      <c r="L155" s="591">
        <v>600000</v>
      </c>
      <c r="M155" s="546" t="s">
        <v>1564</v>
      </c>
      <c r="N155" s="591">
        <v>600000</v>
      </c>
      <c r="O155" s="545">
        <v>42795</v>
      </c>
      <c r="P155" s="545">
        <v>42979</v>
      </c>
      <c r="Q155" s="546" t="s">
        <v>108</v>
      </c>
      <c r="R155" s="546" t="s">
        <v>1565</v>
      </c>
      <c r="S155" s="546" t="s">
        <v>1340</v>
      </c>
      <c r="T155" s="546" t="s">
        <v>1351</v>
      </c>
      <c r="U155" s="546" t="s">
        <v>1351</v>
      </c>
      <c r="V155" s="546" t="s">
        <v>1566</v>
      </c>
      <c r="W155" s="546" t="s">
        <v>1351</v>
      </c>
      <c r="X155" s="683" t="s">
        <v>1351</v>
      </c>
      <c r="Y155" s="683" t="s">
        <v>1351</v>
      </c>
      <c r="Z155" s="683" t="s">
        <v>1351</v>
      </c>
      <c r="AA155" s="683" t="s">
        <v>1567</v>
      </c>
      <c r="AB155" s="548" t="s">
        <v>266</v>
      </c>
      <c r="AC155" s="628"/>
    </row>
    <row r="156" spans="1:29" s="577" customFormat="1" ht="80.099999999999994" customHeight="1" x14ac:dyDescent="0.2">
      <c r="A156" s="588" t="s">
        <v>1810</v>
      </c>
      <c r="B156" s="546">
        <v>93</v>
      </c>
      <c r="C156" s="546" t="s">
        <v>1568</v>
      </c>
      <c r="D156" s="546" t="s">
        <v>2006</v>
      </c>
      <c r="E156" s="546" t="s">
        <v>1569</v>
      </c>
      <c r="F156" s="546">
        <v>876</v>
      </c>
      <c r="G156" s="546" t="s">
        <v>1563</v>
      </c>
      <c r="H156" s="546">
        <v>80</v>
      </c>
      <c r="I156" s="546">
        <v>40273562004</v>
      </c>
      <c r="J156" s="546" t="s">
        <v>1338</v>
      </c>
      <c r="K156" s="556">
        <v>400000</v>
      </c>
      <c r="L156" s="591">
        <v>400000</v>
      </c>
      <c r="M156" s="546" t="s">
        <v>1564</v>
      </c>
      <c r="N156" s="591" t="s">
        <v>1570</v>
      </c>
      <c r="O156" s="545">
        <v>42736</v>
      </c>
      <c r="P156" s="545">
        <v>43070</v>
      </c>
      <c r="Q156" s="546" t="s">
        <v>108</v>
      </c>
      <c r="R156" s="546" t="s">
        <v>1565</v>
      </c>
      <c r="S156" s="600" t="s">
        <v>1340</v>
      </c>
      <c r="T156" s="546" t="s">
        <v>1351</v>
      </c>
      <c r="U156" s="546" t="s">
        <v>1351</v>
      </c>
      <c r="V156" s="546" t="s">
        <v>1566</v>
      </c>
      <c r="W156" s="546" t="s">
        <v>1351</v>
      </c>
      <c r="X156" s="546" t="s">
        <v>1351</v>
      </c>
      <c r="Y156" s="546" t="s">
        <v>1351</v>
      </c>
      <c r="Z156" s="546" t="s">
        <v>1351</v>
      </c>
      <c r="AA156" s="546" t="s">
        <v>1567</v>
      </c>
      <c r="AB156" s="628" t="s">
        <v>266</v>
      </c>
      <c r="AC156" s="628"/>
    </row>
    <row r="157" spans="1:29" s="577" customFormat="1" ht="80.099999999999994" customHeight="1" x14ac:dyDescent="0.2">
      <c r="A157" s="588" t="s">
        <v>1811</v>
      </c>
      <c r="B157" s="546" t="s">
        <v>1571</v>
      </c>
      <c r="C157" s="546" t="s">
        <v>1572</v>
      </c>
      <c r="D157" s="546" t="s">
        <v>2007</v>
      </c>
      <c r="E157" s="546" t="s">
        <v>1573</v>
      </c>
      <c r="F157" s="546">
        <v>876</v>
      </c>
      <c r="G157" s="546" t="s">
        <v>1574</v>
      </c>
      <c r="H157" s="546">
        <v>1</v>
      </c>
      <c r="I157" s="546">
        <v>40273562007</v>
      </c>
      <c r="J157" s="546" t="s">
        <v>1338</v>
      </c>
      <c r="K157" s="556">
        <v>220000</v>
      </c>
      <c r="L157" s="591">
        <v>220000</v>
      </c>
      <c r="M157" s="546" t="s">
        <v>1576</v>
      </c>
      <c r="N157" s="591" t="s">
        <v>1575</v>
      </c>
      <c r="O157" s="545">
        <v>43040</v>
      </c>
      <c r="P157" s="545">
        <v>43101</v>
      </c>
      <c r="Q157" s="546" t="s">
        <v>108</v>
      </c>
      <c r="R157" s="546" t="s">
        <v>1565</v>
      </c>
      <c r="S157" s="600" t="s">
        <v>1340</v>
      </c>
      <c r="T157" s="546" t="s">
        <v>1351</v>
      </c>
      <c r="U157" s="546" t="s">
        <v>1351</v>
      </c>
      <c r="V157" s="546" t="s">
        <v>1566</v>
      </c>
      <c r="W157" s="546" t="s">
        <v>1351</v>
      </c>
      <c r="X157" s="546" t="s">
        <v>1351</v>
      </c>
      <c r="Y157" s="546" t="s">
        <v>1351</v>
      </c>
      <c r="Z157" s="546" t="s">
        <v>1351</v>
      </c>
      <c r="AA157" s="546" t="s">
        <v>1567</v>
      </c>
      <c r="AB157" s="628" t="s">
        <v>266</v>
      </c>
      <c r="AC157" s="628"/>
    </row>
    <row r="158" spans="1:29" s="577" customFormat="1" ht="80.099999999999994" customHeight="1" x14ac:dyDescent="0.2">
      <c r="A158" s="588" t="s">
        <v>1812</v>
      </c>
      <c r="B158" s="546" t="s">
        <v>1571</v>
      </c>
      <c r="C158" s="546" t="s">
        <v>1577</v>
      </c>
      <c r="D158" s="546" t="s">
        <v>2008</v>
      </c>
      <c r="E158" s="546" t="s">
        <v>1578</v>
      </c>
      <c r="F158" s="546">
        <v>876</v>
      </c>
      <c r="G158" s="546" t="s">
        <v>1574</v>
      </c>
      <c r="H158" s="546">
        <v>1</v>
      </c>
      <c r="I158" s="546">
        <v>40273562008</v>
      </c>
      <c r="J158" s="546" t="s">
        <v>1338</v>
      </c>
      <c r="K158" s="556">
        <v>1800000</v>
      </c>
      <c r="L158" s="591">
        <v>1800000</v>
      </c>
      <c r="M158" s="546" t="s">
        <v>1576</v>
      </c>
      <c r="N158" s="591" t="s">
        <v>2070</v>
      </c>
      <c r="O158" s="545">
        <v>42736</v>
      </c>
      <c r="P158" s="545">
        <v>43070</v>
      </c>
      <c r="Q158" s="546" t="s">
        <v>108</v>
      </c>
      <c r="R158" s="546" t="s">
        <v>1565</v>
      </c>
      <c r="S158" s="600" t="s">
        <v>1340</v>
      </c>
      <c r="T158" s="546" t="s">
        <v>1351</v>
      </c>
      <c r="U158" s="546" t="s">
        <v>1351</v>
      </c>
      <c r="V158" s="546" t="s">
        <v>1566</v>
      </c>
      <c r="W158" s="546" t="s">
        <v>1351</v>
      </c>
      <c r="X158" s="546" t="s">
        <v>1351</v>
      </c>
      <c r="Y158" s="546" t="s">
        <v>1351</v>
      </c>
      <c r="Z158" s="546" t="s">
        <v>1351</v>
      </c>
      <c r="AA158" s="546" t="s">
        <v>1567</v>
      </c>
      <c r="AB158" s="628" t="s">
        <v>266</v>
      </c>
      <c r="AC158" s="628"/>
    </row>
    <row r="159" spans="1:29" s="577" customFormat="1" ht="80.099999999999994" customHeight="1" x14ac:dyDescent="0.2">
      <c r="A159" s="588" t="s">
        <v>1813</v>
      </c>
      <c r="B159" s="546" t="s">
        <v>1579</v>
      </c>
      <c r="C159" s="546" t="s">
        <v>1580</v>
      </c>
      <c r="D159" s="546" t="s">
        <v>2009</v>
      </c>
      <c r="E159" s="546" t="s">
        <v>1581</v>
      </c>
      <c r="F159" s="546">
        <v>876</v>
      </c>
      <c r="G159" s="546" t="s">
        <v>1574</v>
      </c>
      <c r="H159" s="546">
        <v>1</v>
      </c>
      <c r="I159" s="546">
        <v>40273562009</v>
      </c>
      <c r="J159" s="546" t="s">
        <v>1338</v>
      </c>
      <c r="K159" s="556">
        <v>300000</v>
      </c>
      <c r="L159" s="591">
        <v>300000</v>
      </c>
      <c r="M159" s="546" t="s">
        <v>1576</v>
      </c>
      <c r="N159" s="591" t="s">
        <v>1582</v>
      </c>
      <c r="O159" s="545">
        <v>42856</v>
      </c>
      <c r="P159" s="545">
        <v>43009</v>
      </c>
      <c r="Q159" s="546" t="s">
        <v>108</v>
      </c>
      <c r="R159" s="546" t="s">
        <v>1565</v>
      </c>
      <c r="S159" s="600" t="s">
        <v>1340</v>
      </c>
      <c r="T159" s="546" t="s">
        <v>1351</v>
      </c>
      <c r="U159" s="546" t="s">
        <v>1351</v>
      </c>
      <c r="V159" s="546" t="s">
        <v>1566</v>
      </c>
      <c r="W159" s="546" t="s">
        <v>1351</v>
      </c>
      <c r="X159" s="546" t="s">
        <v>1351</v>
      </c>
      <c r="Y159" s="546" t="s">
        <v>1351</v>
      </c>
      <c r="Z159" s="546" t="s">
        <v>1351</v>
      </c>
      <c r="AA159" s="546" t="s">
        <v>1567</v>
      </c>
      <c r="AB159" s="548" t="s">
        <v>266</v>
      </c>
      <c r="AC159" s="628"/>
    </row>
    <row r="160" spans="1:29" s="577" customFormat="1" ht="80.099999999999994" customHeight="1" x14ac:dyDescent="0.2">
      <c r="A160" s="588" t="s">
        <v>1814</v>
      </c>
      <c r="B160" s="582" t="s">
        <v>1638</v>
      </c>
      <c r="C160" s="548" t="s">
        <v>1639</v>
      </c>
      <c r="D160" s="546" t="s">
        <v>2010</v>
      </c>
      <c r="E160" s="546" t="s">
        <v>1583</v>
      </c>
      <c r="F160" s="546">
        <v>877</v>
      </c>
      <c r="G160" s="546" t="s">
        <v>1584</v>
      </c>
      <c r="H160" s="546">
        <v>1500</v>
      </c>
      <c r="I160" s="546">
        <v>40273562010</v>
      </c>
      <c r="J160" s="546" t="s">
        <v>1338</v>
      </c>
      <c r="K160" s="556">
        <v>5759300</v>
      </c>
      <c r="L160" s="591">
        <v>5759300</v>
      </c>
      <c r="M160" s="546" t="s">
        <v>1585</v>
      </c>
      <c r="N160" s="591">
        <v>5759300</v>
      </c>
      <c r="O160" s="545">
        <v>42887</v>
      </c>
      <c r="P160" s="545">
        <v>43252</v>
      </c>
      <c r="Q160" s="546" t="s">
        <v>108</v>
      </c>
      <c r="R160" s="546" t="s">
        <v>115</v>
      </c>
      <c r="S160" s="546" t="s">
        <v>1351</v>
      </c>
      <c r="T160" s="546" t="s">
        <v>1351</v>
      </c>
      <c r="U160" s="546" t="s">
        <v>1351</v>
      </c>
      <c r="V160" s="546" t="s">
        <v>1566</v>
      </c>
      <c r="W160" s="546" t="s">
        <v>1351</v>
      </c>
      <c r="X160" s="546" t="s">
        <v>1351</v>
      </c>
      <c r="Y160" s="546" t="s">
        <v>1351</v>
      </c>
      <c r="Z160" s="546" t="s">
        <v>1351</v>
      </c>
      <c r="AA160" s="546" t="s">
        <v>1567</v>
      </c>
      <c r="AB160" s="578" t="s">
        <v>1586</v>
      </c>
      <c r="AC160" s="628"/>
    </row>
    <row r="161" spans="1:29" s="577" customFormat="1" ht="80.099999999999994" customHeight="1" x14ac:dyDescent="0.2">
      <c r="A161" s="588" t="s">
        <v>1815</v>
      </c>
      <c r="B161" s="559" t="s">
        <v>1587</v>
      </c>
      <c r="C161" s="560" t="s">
        <v>1588</v>
      </c>
      <c r="D161" s="561" t="s">
        <v>2011</v>
      </c>
      <c r="E161" s="561" t="s">
        <v>1589</v>
      </c>
      <c r="F161" s="560" t="s">
        <v>1329</v>
      </c>
      <c r="G161" s="560" t="s">
        <v>1330</v>
      </c>
      <c r="H161" s="561" t="s">
        <v>121</v>
      </c>
      <c r="I161" s="560">
        <v>40265562000</v>
      </c>
      <c r="J161" s="561" t="s">
        <v>1338</v>
      </c>
      <c r="K161" s="649">
        <v>4800000</v>
      </c>
      <c r="L161" s="639">
        <v>4800000</v>
      </c>
      <c r="M161" s="539" t="s">
        <v>1590</v>
      </c>
      <c r="N161" s="639">
        <v>4800000</v>
      </c>
      <c r="O161" s="562">
        <v>42826</v>
      </c>
      <c r="P161" s="562">
        <v>43100</v>
      </c>
      <c r="Q161" s="560" t="s">
        <v>110</v>
      </c>
      <c r="R161" s="560" t="s">
        <v>114</v>
      </c>
      <c r="S161" s="600" t="s">
        <v>1340</v>
      </c>
      <c r="T161" s="539" t="s">
        <v>100</v>
      </c>
      <c r="U161" s="539" t="s">
        <v>100</v>
      </c>
      <c r="V161" s="539" t="s">
        <v>51</v>
      </c>
      <c r="W161" s="539" t="s">
        <v>100</v>
      </c>
      <c r="X161" s="539" t="s">
        <v>100</v>
      </c>
      <c r="Y161" s="539" t="s">
        <v>100</v>
      </c>
      <c r="Z161" s="539" t="s">
        <v>100</v>
      </c>
      <c r="AA161" s="539" t="s">
        <v>1591</v>
      </c>
      <c r="AB161" s="560" t="s">
        <v>1592</v>
      </c>
      <c r="AC161" s="560"/>
    </row>
    <row r="162" spans="1:29" s="577" customFormat="1" ht="80.099999999999994" customHeight="1" x14ac:dyDescent="0.2">
      <c r="A162" s="588" t="s">
        <v>1816</v>
      </c>
      <c r="B162" s="559" t="s">
        <v>1593</v>
      </c>
      <c r="C162" s="560" t="s">
        <v>1594</v>
      </c>
      <c r="D162" s="561" t="s">
        <v>2012</v>
      </c>
      <c r="E162" s="561" t="s">
        <v>1595</v>
      </c>
      <c r="F162" s="560" t="s">
        <v>1329</v>
      </c>
      <c r="G162" s="560" t="s">
        <v>1330</v>
      </c>
      <c r="H162" s="561" t="s">
        <v>121</v>
      </c>
      <c r="I162" s="560">
        <v>40265562000</v>
      </c>
      <c r="J162" s="561" t="s">
        <v>1338</v>
      </c>
      <c r="K162" s="649">
        <v>480000</v>
      </c>
      <c r="L162" s="639">
        <v>480000</v>
      </c>
      <c r="M162" s="539" t="s">
        <v>1590</v>
      </c>
      <c r="N162" s="639">
        <v>480000</v>
      </c>
      <c r="O162" s="562">
        <v>42736</v>
      </c>
      <c r="P162" s="562">
        <v>43100</v>
      </c>
      <c r="Q162" s="560" t="s">
        <v>110</v>
      </c>
      <c r="R162" s="560" t="s">
        <v>114</v>
      </c>
      <c r="S162" s="600" t="s">
        <v>1340</v>
      </c>
      <c r="T162" s="539" t="s">
        <v>100</v>
      </c>
      <c r="U162" s="631" t="s">
        <v>100</v>
      </c>
      <c r="V162" s="539" t="s">
        <v>60</v>
      </c>
      <c r="W162" s="539" t="s">
        <v>100</v>
      </c>
      <c r="X162" s="539" t="s">
        <v>100</v>
      </c>
      <c r="Y162" s="540" t="s">
        <v>100</v>
      </c>
      <c r="Z162" s="540" t="s">
        <v>100</v>
      </c>
      <c r="AA162" s="539" t="s">
        <v>1591</v>
      </c>
      <c r="AB162" s="560" t="s">
        <v>266</v>
      </c>
      <c r="AC162" s="560"/>
    </row>
    <row r="163" spans="1:29" s="577" customFormat="1" ht="80.099999999999994" customHeight="1" x14ac:dyDescent="0.2">
      <c r="A163" s="588" t="s">
        <v>1817</v>
      </c>
      <c r="B163" s="559" t="s">
        <v>1593</v>
      </c>
      <c r="C163" s="560" t="s">
        <v>1596</v>
      </c>
      <c r="D163" s="561" t="s">
        <v>2013</v>
      </c>
      <c r="E163" s="561" t="s">
        <v>1597</v>
      </c>
      <c r="F163" s="560" t="s">
        <v>1329</v>
      </c>
      <c r="G163" s="560" t="s">
        <v>1330</v>
      </c>
      <c r="H163" s="561" t="s">
        <v>121</v>
      </c>
      <c r="I163" s="560">
        <v>40265562000</v>
      </c>
      <c r="J163" s="561" t="s">
        <v>1338</v>
      </c>
      <c r="K163" s="649">
        <v>1080000</v>
      </c>
      <c r="L163" s="639">
        <v>1080000</v>
      </c>
      <c r="M163" s="539" t="s">
        <v>1598</v>
      </c>
      <c r="N163" s="639">
        <v>1080000</v>
      </c>
      <c r="O163" s="562">
        <v>42736</v>
      </c>
      <c r="P163" s="562">
        <v>43100</v>
      </c>
      <c r="Q163" s="560" t="s">
        <v>110</v>
      </c>
      <c r="R163" s="560" t="s">
        <v>114</v>
      </c>
      <c r="S163" s="600" t="s">
        <v>1340</v>
      </c>
      <c r="T163" s="539" t="s">
        <v>100</v>
      </c>
      <c r="U163" s="631" t="s">
        <v>100</v>
      </c>
      <c r="V163" s="539" t="s">
        <v>54</v>
      </c>
      <c r="W163" s="539" t="s">
        <v>100</v>
      </c>
      <c r="X163" s="539" t="s">
        <v>100</v>
      </c>
      <c r="Y163" s="540" t="s">
        <v>100</v>
      </c>
      <c r="Z163" s="540" t="s">
        <v>100</v>
      </c>
      <c r="AA163" s="539" t="s">
        <v>1591</v>
      </c>
      <c r="AB163" s="560" t="s">
        <v>203</v>
      </c>
      <c r="AC163" s="560"/>
    </row>
    <row r="164" spans="1:29" s="577" customFormat="1" ht="80.099999999999994" customHeight="1" x14ac:dyDescent="0.2">
      <c r="A164" s="588" t="s">
        <v>1818</v>
      </c>
      <c r="B164" s="559" t="s">
        <v>1593</v>
      </c>
      <c r="C164" s="560" t="s">
        <v>1599</v>
      </c>
      <c r="D164" s="561" t="s">
        <v>2014</v>
      </c>
      <c r="E164" s="561" t="s">
        <v>1600</v>
      </c>
      <c r="F164" s="560">
        <v>796</v>
      </c>
      <c r="G164" s="560" t="s">
        <v>1601</v>
      </c>
      <c r="H164" s="561" t="s">
        <v>123</v>
      </c>
      <c r="I164" s="560">
        <v>40265562000</v>
      </c>
      <c r="J164" s="561" t="s">
        <v>1338</v>
      </c>
      <c r="K164" s="649">
        <v>210000</v>
      </c>
      <c r="L164" s="620">
        <v>210000</v>
      </c>
      <c r="M164" s="560" t="s">
        <v>1598</v>
      </c>
      <c r="N164" s="620">
        <v>210000</v>
      </c>
      <c r="O164" s="562">
        <v>42736</v>
      </c>
      <c r="P164" s="562">
        <v>43100</v>
      </c>
      <c r="Q164" s="560" t="s">
        <v>110</v>
      </c>
      <c r="R164" s="560" t="s">
        <v>114</v>
      </c>
      <c r="S164" s="600" t="s">
        <v>1340</v>
      </c>
      <c r="T164" s="539" t="s">
        <v>100</v>
      </c>
      <c r="U164" s="631" t="s">
        <v>100</v>
      </c>
      <c r="V164" s="539" t="s">
        <v>60</v>
      </c>
      <c r="W164" s="539" t="s">
        <v>100</v>
      </c>
      <c r="X164" s="539" t="s">
        <v>100</v>
      </c>
      <c r="Y164" s="540" t="s">
        <v>100</v>
      </c>
      <c r="Z164" s="540" t="s">
        <v>100</v>
      </c>
      <c r="AA164" s="539" t="s">
        <v>1591</v>
      </c>
      <c r="AB164" s="560" t="s">
        <v>266</v>
      </c>
      <c r="AC164" s="560"/>
    </row>
    <row r="165" spans="1:29" s="577" customFormat="1" ht="80.099999999999994" customHeight="1" x14ac:dyDescent="0.2">
      <c r="A165" s="588" t="s">
        <v>1819</v>
      </c>
      <c r="B165" s="559" t="s">
        <v>1602</v>
      </c>
      <c r="C165" s="560" t="s">
        <v>1603</v>
      </c>
      <c r="D165" s="561" t="s">
        <v>2015</v>
      </c>
      <c r="E165" s="563" t="s">
        <v>1604</v>
      </c>
      <c r="F165" s="560" t="s">
        <v>1329</v>
      </c>
      <c r="G165" s="560" t="s">
        <v>1330</v>
      </c>
      <c r="H165" s="561" t="s">
        <v>121</v>
      </c>
      <c r="I165" s="560">
        <v>40265562000</v>
      </c>
      <c r="J165" s="561" t="s">
        <v>1338</v>
      </c>
      <c r="K165" s="649">
        <v>200000</v>
      </c>
      <c r="L165" s="620">
        <v>200000</v>
      </c>
      <c r="M165" s="560" t="s">
        <v>1590</v>
      </c>
      <c r="N165" s="620">
        <v>200000</v>
      </c>
      <c r="O165" s="562">
        <v>42736</v>
      </c>
      <c r="P165" s="562">
        <v>43100</v>
      </c>
      <c r="Q165" s="560" t="s">
        <v>110</v>
      </c>
      <c r="R165" s="560" t="s">
        <v>114</v>
      </c>
      <c r="S165" s="600" t="s">
        <v>1340</v>
      </c>
      <c r="T165" s="560" t="s">
        <v>100</v>
      </c>
      <c r="U165" s="568" t="s">
        <v>100</v>
      </c>
      <c r="V165" s="560" t="s">
        <v>60</v>
      </c>
      <c r="W165" s="560" t="s">
        <v>100</v>
      </c>
      <c r="X165" s="560" t="s">
        <v>100</v>
      </c>
      <c r="Y165" s="561" t="s">
        <v>100</v>
      </c>
      <c r="Z165" s="561" t="s">
        <v>100</v>
      </c>
      <c r="AA165" s="560" t="s">
        <v>1591</v>
      </c>
      <c r="AB165" s="560" t="s">
        <v>266</v>
      </c>
      <c r="AC165" s="560"/>
    </row>
    <row r="166" spans="1:29" s="577" customFormat="1" ht="80.099999999999994" customHeight="1" x14ac:dyDescent="0.2">
      <c r="A166" s="588" t="s">
        <v>1820</v>
      </c>
      <c r="B166" s="559" t="s">
        <v>1605</v>
      </c>
      <c r="C166" s="560" t="s">
        <v>1606</v>
      </c>
      <c r="D166" s="561" t="s">
        <v>2016</v>
      </c>
      <c r="E166" s="654" t="s">
        <v>2066</v>
      </c>
      <c r="F166" s="560" t="s">
        <v>1329</v>
      </c>
      <c r="G166" s="560" t="s">
        <v>1330</v>
      </c>
      <c r="H166" s="561" t="s">
        <v>121</v>
      </c>
      <c r="I166" s="560">
        <v>40265562000</v>
      </c>
      <c r="J166" s="561" t="s">
        <v>1338</v>
      </c>
      <c r="K166" s="649">
        <v>2280900</v>
      </c>
      <c r="L166" s="620">
        <v>2280900</v>
      </c>
      <c r="M166" s="560" t="s">
        <v>1607</v>
      </c>
      <c r="N166" s="620">
        <v>2280900</v>
      </c>
      <c r="O166" s="562">
        <v>42736</v>
      </c>
      <c r="P166" s="562">
        <v>43100</v>
      </c>
      <c r="Q166" s="560" t="s">
        <v>110</v>
      </c>
      <c r="R166" s="560" t="s">
        <v>114</v>
      </c>
      <c r="S166" s="600" t="s">
        <v>1340</v>
      </c>
      <c r="T166" s="560" t="s">
        <v>100</v>
      </c>
      <c r="U166" s="568" t="s">
        <v>100</v>
      </c>
      <c r="V166" s="560" t="s">
        <v>54</v>
      </c>
      <c r="W166" s="560" t="s">
        <v>100</v>
      </c>
      <c r="X166" s="560" t="s">
        <v>100</v>
      </c>
      <c r="Y166" s="561" t="s">
        <v>100</v>
      </c>
      <c r="Z166" s="561" t="s">
        <v>100</v>
      </c>
      <c r="AA166" s="560" t="s">
        <v>1591</v>
      </c>
      <c r="AB166" s="560" t="s">
        <v>203</v>
      </c>
      <c r="AC166" s="560"/>
    </row>
    <row r="167" spans="1:29" s="577" customFormat="1" ht="80.099999999999994" customHeight="1" x14ac:dyDescent="0.2">
      <c r="A167" s="588" t="s">
        <v>1821</v>
      </c>
      <c r="B167" s="559" t="s">
        <v>1608</v>
      </c>
      <c r="C167" s="560" t="s">
        <v>1609</v>
      </c>
      <c r="D167" s="561" t="s">
        <v>2017</v>
      </c>
      <c r="E167" s="654" t="s">
        <v>2066</v>
      </c>
      <c r="F167" s="560" t="s">
        <v>1329</v>
      </c>
      <c r="G167" s="560" t="s">
        <v>1330</v>
      </c>
      <c r="H167" s="561" t="s">
        <v>121</v>
      </c>
      <c r="I167" s="560">
        <v>40265562000</v>
      </c>
      <c r="J167" s="561" t="s">
        <v>1338</v>
      </c>
      <c r="K167" s="649">
        <v>338000</v>
      </c>
      <c r="L167" s="620">
        <v>338000</v>
      </c>
      <c r="M167" s="560" t="s">
        <v>1607</v>
      </c>
      <c r="N167" s="620">
        <v>338000</v>
      </c>
      <c r="O167" s="562">
        <v>42736</v>
      </c>
      <c r="P167" s="562">
        <v>43100</v>
      </c>
      <c r="Q167" s="560" t="s">
        <v>110</v>
      </c>
      <c r="R167" s="560" t="s">
        <v>114</v>
      </c>
      <c r="S167" s="600" t="s">
        <v>1340</v>
      </c>
      <c r="T167" s="560" t="s">
        <v>100</v>
      </c>
      <c r="U167" s="568" t="s">
        <v>100</v>
      </c>
      <c r="V167" s="560" t="s">
        <v>60</v>
      </c>
      <c r="W167" s="560" t="s">
        <v>100</v>
      </c>
      <c r="X167" s="560" t="s">
        <v>100</v>
      </c>
      <c r="Y167" s="561" t="s">
        <v>100</v>
      </c>
      <c r="Z167" s="561" t="s">
        <v>100</v>
      </c>
      <c r="AA167" s="560" t="s">
        <v>1591</v>
      </c>
      <c r="AB167" s="560" t="s">
        <v>266</v>
      </c>
      <c r="AC167" s="560"/>
    </row>
    <row r="168" spans="1:29" s="577" customFormat="1" ht="80.099999999999994" customHeight="1" x14ac:dyDescent="0.2">
      <c r="A168" s="588" t="s">
        <v>1822</v>
      </c>
      <c r="B168" s="559" t="s">
        <v>1610</v>
      </c>
      <c r="C168" s="560" t="s">
        <v>1611</v>
      </c>
      <c r="D168" s="561" t="s">
        <v>2018</v>
      </c>
      <c r="E168" s="654" t="s">
        <v>2066</v>
      </c>
      <c r="F168" s="560" t="s">
        <v>1329</v>
      </c>
      <c r="G168" s="560" t="s">
        <v>1330</v>
      </c>
      <c r="H168" s="561" t="s">
        <v>121</v>
      </c>
      <c r="I168" s="560">
        <v>40265562000</v>
      </c>
      <c r="J168" s="561" t="s">
        <v>1338</v>
      </c>
      <c r="K168" s="649">
        <v>162000</v>
      </c>
      <c r="L168" s="620">
        <v>162000</v>
      </c>
      <c r="M168" s="560" t="s">
        <v>1607</v>
      </c>
      <c r="N168" s="620">
        <v>162000</v>
      </c>
      <c r="O168" s="562">
        <v>42736</v>
      </c>
      <c r="P168" s="562">
        <v>43100</v>
      </c>
      <c r="Q168" s="560" t="s">
        <v>110</v>
      </c>
      <c r="R168" s="560" t="s">
        <v>114</v>
      </c>
      <c r="S168" s="600" t="s">
        <v>1340</v>
      </c>
      <c r="T168" s="560" t="s">
        <v>100</v>
      </c>
      <c r="U168" s="568" t="s">
        <v>100</v>
      </c>
      <c r="V168" s="560" t="s">
        <v>60</v>
      </c>
      <c r="W168" s="560" t="s">
        <v>100</v>
      </c>
      <c r="X168" s="560" t="s">
        <v>100</v>
      </c>
      <c r="Y168" s="561" t="s">
        <v>100</v>
      </c>
      <c r="Z168" s="561" t="s">
        <v>100</v>
      </c>
      <c r="AA168" s="560" t="s">
        <v>1591</v>
      </c>
      <c r="AB168" s="560" t="s">
        <v>266</v>
      </c>
      <c r="AC168" s="560"/>
    </row>
    <row r="169" spans="1:29" s="577" customFormat="1" ht="80.099999999999994" customHeight="1" x14ac:dyDescent="0.2">
      <c r="A169" s="588" t="s">
        <v>1823</v>
      </c>
      <c r="B169" s="559" t="s">
        <v>1610</v>
      </c>
      <c r="C169" s="560" t="s">
        <v>1612</v>
      </c>
      <c r="D169" s="561" t="s">
        <v>2019</v>
      </c>
      <c r="E169" s="654" t="s">
        <v>2066</v>
      </c>
      <c r="F169" s="560" t="s">
        <v>1329</v>
      </c>
      <c r="G169" s="560" t="s">
        <v>1330</v>
      </c>
      <c r="H169" s="561" t="s">
        <v>121</v>
      </c>
      <c r="I169" s="560">
        <v>40265562000</v>
      </c>
      <c r="J169" s="561" t="s">
        <v>1338</v>
      </c>
      <c r="K169" s="649">
        <v>164620</v>
      </c>
      <c r="L169" s="620">
        <v>164620</v>
      </c>
      <c r="M169" s="560" t="s">
        <v>1607</v>
      </c>
      <c r="N169" s="620">
        <v>164620</v>
      </c>
      <c r="O169" s="562">
        <v>42736</v>
      </c>
      <c r="P169" s="562">
        <v>43100</v>
      </c>
      <c r="Q169" s="560" t="s">
        <v>110</v>
      </c>
      <c r="R169" s="560" t="s">
        <v>114</v>
      </c>
      <c r="S169" s="600" t="s">
        <v>1340</v>
      </c>
      <c r="T169" s="560" t="s">
        <v>100</v>
      </c>
      <c r="U169" s="568" t="s">
        <v>100</v>
      </c>
      <c r="V169" s="560" t="s">
        <v>60</v>
      </c>
      <c r="W169" s="560" t="s">
        <v>100</v>
      </c>
      <c r="X169" s="560" t="s">
        <v>100</v>
      </c>
      <c r="Y169" s="561" t="s">
        <v>100</v>
      </c>
      <c r="Z169" s="561" t="s">
        <v>100</v>
      </c>
      <c r="AA169" s="560" t="s">
        <v>1591</v>
      </c>
      <c r="AB169" s="560" t="s">
        <v>266</v>
      </c>
      <c r="AC169" s="560"/>
    </row>
    <row r="170" spans="1:29" s="577" customFormat="1" ht="80.099999999999994" customHeight="1" x14ac:dyDescent="0.2">
      <c r="A170" s="588" t="s">
        <v>1824</v>
      </c>
      <c r="B170" s="559" t="s">
        <v>1593</v>
      </c>
      <c r="C170" s="564" t="s">
        <v>1596</v>
      </c>
      <c r="D170" s="564" t="s">
        <v>2020</v>
      </c>
      <c r="E170" s="560" t="s">
        <v>1513</v>
      </c>
      <c r="F170" s="564">
        <v>876</v>
      </c>
      <c r="G170" s="565" t="s">
        <v>1357</v>
      </c>
      <c r="H170" s="566">
        <v>22</v>
      </c>
      <c r="I170" s="560">
        <v>40265562000</v>
      </c>
      <c r="J170" s="561" t="s">
        <v>1338</v>
      </c>
      <c r="K170" s="621">
        <v>520000</v>
      </c>
      <c r="L170" s="622">
        <v>520000</v>
      </c>
      <c r="M170" s="561" t="s">
        <v>1613</v>
      </c>
      <c r="N170" s="622">
        <v>520000</v>
      </c>
      <c r="O170" s="567">
        <v>42795</v>
      </c>
      <c r="P170" s="562">
        <v>43040</v>
      </c>
      <c r="Q170" s="568" t="s">
        <v>110</v>
      </c>
      <c r="R170" s="568" t="s">
        <v>114</v>
      </c>
      <c r="S170" s="600" t="s">
        <v>1340</v>
      </c>
      <c r="T170" s="560" t="s">
        <v>1351</v>
      </c>
      <c r="U170" s="560" t="s">
        <v>1351</v>
      </c>
      <c r="V170" s="560" t="s">
        <v>54</v>
      </c>
      <c r="W170" s="560" t="s">
        <v>1351</v>
      </c>
      <c r="X170" s="560" t="s">
        <v>1351</v>
      </c>
      <c r="Y170" s="560" t="s">
        <v>1351</v>
      </c>
      <c r="Z170" s="560" t="s">
        <v>1351</v>
      </c>
      <c r="AA170" s="569" t="s">
        <v>1614</v>
      </c>
      <c r="AB170" s="560" t="s">
        <v>203</v>
      </c>
      <c r="AC170" s="560"/>
    </row>
    <row r="171" spans="1:29" s="577" customFormat="1" ht="80.099999999999994" customHeight="1" x14ac:dyDescent="0.2">
      <c r="A171" s="588" t="s">
        <v>1825</v>
      </c>
      <c r="B171" s="559" t="s">
        <v>1602</v>
      </c>
      <c r="C171" s="560" t="s">
        <v>1603</v>
      </c>
      <c r="D171" s="561" t="s">
        <v>2021</v>
      </c>
      <c r="E171" s="561" t="s">
        <v>1615</v>
      </c>
      <c r="F171" s="560">
        <v>796</v>
      </c>
      <c r="G171" s="560" t="s">
        <v>1601</v>
      </c>
      <c r="H171" s="561" t="s">
        <v>121</v>
      </c>
      <c r="I171" s="560">
        <v>40265562000</v>
      </c>
      <c r="J171" s="561" t="s">
        <v>1338</v>
      </c>
      <c r="K171" s="649">
        <v>200000</v>
      </c>
      <c r="L171" s="620">
        <v>200000</v>
      </c>
      <c r="M171" s="560" t="s">
        <v>1590</v>
      </c>
      <c r="N171" s="620">
        <v>200000</v>
      </c>
      <c r="O171" s="562">
        <v>42826</v>
      </c>
      <c r="P171" s="562">
        <v>43100</v>
      </c>
      <c r="Q171" s="560" t="s">
        <v>110</v>
      </c>
      <c r="R171" s="560" t="s">
        <v>114</v>
      </c>
      <c r="S171" s="600" t="s">
        <v>1340</v>
      </c>
      <c r="T171" s="560" t="s">
        <v>100</v>
      </c>
      <c r="U171" s="568" t="s">
        <v>100</v>
      </c>
      <c r="V171" s="560" t="s">
        <v>60</v>
      </c>
      <c r="W171" s="560" t="s">
        <v>100</v>
      </c>
      <c r="X171" s="560" t="s">
        <v>100</v>
      </c>
      <c r="Y171" s="561" t="s">
        <v>100</v>
      </c>
      <c r="Z171" s="561" t="s">
        <v>100</v>
      </c>
      <c r="AA171" s="560" t="s">
        <v>1591</v>
      </c>
      <c r="AB171" s="560" t="s">
        <v>266</v>
      </c>
      <c r="AC171" s="560"/>
    </row>
    <row r="172" spans="1:29" s="577" customFormat="1" ht="80.099999999999994" customHeight="1" x14ac:dyDescent="0.2">
      <c r="A172" s="588" t="s">
        <v>1826</v>
      </c>
      <c r="B172" s="559" t="s">
        <v>1587</v>
      </c>
      <c r="C172" s="560" t="s">
        <v>1588</v>
      </c>
      <c r="D172" s="561" t="s">
        <v>2022</v>
      </c>
      <c r="E172" s="563" t="s">
        <v>2067</v>
      </c>
      <c r="F172" s="560" t="s">
        <v>1329</v>
      </c>
      <c r="G172" s="560" t="s">
        <v>1330</v>
      </c>
      <c r="H172" s="561" t="s">
        <v>121</v>
      </c>
      <c r="I172" s="560">
        <v>40265562000</v>
      </c>
      <c r="J172" s="561" t="s">
        <v>1338</v>
      </c>
      <c r="K172" s="649">
        <v>200000</v>
      </c>
      <c r="L172" s="620">
        <v>200000</v>
      </c>
      <c r="M172" s="560" t="s">
        <v>1590</v>
      </c>
      <c r="N172" s="620">
        <v>200000</v>
      </c>
      <c r="O172" s="562">
        <v>42826</v>
      </c>
      <c r="P172" s="562">
        <v>43100</v>
      </c>
      <c r="Q172" s="560" t="s">
        <v>110</v>
      </c>
      <c r="R172" s="560" t="s">
        <v>114</v>
      </c>
      <c r="S172" s="600" t="s">
        <v>1340</v>
      </c>
      <c r="T172" s="560" t="s">
        <v>100</v>
      </c>
      <c r="U172" s="568" t="s">
        <v>100</v>
      </c>
      <c r="V172" s="560" t="s">
        <v>51</v>
      </c>
      <c r="W172" s="560" t="s">
        <v>100</v>
      </c>
      <c r="X172" s="560" t="s">
        <v>100</v>
      </c>
      <c r="Y172" s="561" t="s">
        <v>100</v>
      </c>
      <c r="Z172" s="561" t="s">
        <v>100</v>
      </c>
      <c r="AA172" s="560" t="s">
        <v>1591</v>
      </c>
      <c r="AB172" s="560" t="s">
        <v>1592</v>
      </c>
      <c r="AC172" s="560"/>
    </row>
    <row r="173" spans="1:29" s="577" customFormat="1" ht="80.099999999999994" customHeight="1" x14ac:dyDescent="0.2">
      <c r="A173" s="588" t="s">
        <v>1827</v>
      </c>
      <c r="B173" s="559" t="s">
        <v>1593</v>
      </c>
      <c r="C173" s="560" t="s">
        <v>1599</v>
      </c>
      <c r="D173" s="561" t="s">
        <v>2023</v>
      </c>
      <c r="E173" s="561" t="s">
        <v>1616</v>
      </c>
      <c r="F173" s="560">
        <v>796</v>
      </c>
      <c r="G173" s="560" t="s">
        <v>1601</v>
      </c>
      <c r="H173" s="561" t="s">
        <v>125</v>
      </c>
      <c r="I173" s="560">
        <v>40265562000</v>
      </c>
      <c r="J173" s="561" t="s">
        <v>1338</v>
      </c>
      <c r="K173" s="649">
        <v>500000</v>
      </c>
      <c r="L173" s="620">
        <v>500000</v>
      </c>
      <c r="M173" s="560" t="s">
        <v>1598</v>
      </c>
      <c r="N173" s="620">
        <v>500000</v>
      </c>
      <c r="O173" s="562">
        <v>42826</v>
      </c>
      <c r="P173" s="562">
        <v>43100</v>
      </c>
      <c r="Q173" s="560" t="s">
        <v>110</v>
      </c>
      <c r="R173" s="560" t="s">
        <v>114</v>
      </c>
      <c r="S173" s="600" t="s">
        <v>1340</v>
      </c>
      <c r="T173" s="560" t="s">
        <v>100</v>
      </c>
      <c r="U173" s="568" t="s">
        <v>100</v>
      </c>
      <c r="V173" s="560" t="s">
        <v>60</v>
      </c>
      <c r="W173" s="560" t="s">
        <v>100</v>
      </c>
      <c r="X173" s="560" t="s">
        <v>100</v>
      </c>
      <c r="Y173" s="561" t="s">
        <v>100</v>
      </c>
      <c r="Z173" s="561" t="s">
        <v>100</v>
      </c>
      <c r="AA173" s="560" t="s">
        <v>1591</v>
      </c>
      <c r="AB173" s="560" t="s">
        <v>266</v>
      </c>
      <c r="AC173" s="560"/>
    </row>
    <row r="174" spans="1:29" s="577" customFormat="1" ht="80.099999999999994" customHeight="1" x14ac:dyDescent="0.2">
      <c r="A174" s="588" t="s">
        <v>1828</v>
      </c>
      <c r="B174" s="559" t="s">
        <v>1593</v>
      </c>
      <c r="C174" s="560" t="s">
        <v>1599</v>
      </c>
      <c r="D174" s="561" t="s">
        <v>2024</v>
      </c>
      <c r="E174" s="561" t="s">
        <v>1600</v>
      </c>
      <c r="F174" s="560">
        <v>796</v>
      </c>
      <c r="G174" s="560" t="s">
        <v>1601</v>
      </c>
      <c r="H174" s="561" t="s">
        <v>122</v>
      </c>
      <c r="I174" s="560">
        <v>40265562000</v>
      </c>
      <c r="J174" s="561" t="s">
        <v>1338</v>
      </c>
      <c r="K174" s="649">
        <v>140000</v>
      </c>
      <c r="L174" s="620">
        <v>140000</v>
      </c>
      <c r="M174" s="560" t="s">
        <v>1598</v>
      </c>
      <c r="N174" s="620">
        <v>140000</v>
      </c>
      <c r="O174" s="562">
        <v>42826</v>
      </c>
      <c r="P174" s="562">
        <v>43100</v>
      </c>
      <c r="Q174" s="560" t="s">
        <v>110</v>
      </c>
      <c r="R174" s="560" t="s">
        <v>114</v>
      </c>
      <c r="S174" s="600" t="s">
        <v>1340</v>
      </c>
      <c r="T174" s="560" t="s">
        <v>100</v>
      </c>
      <c r="U174" s="568" t="s">
        <v>100</v>
      </c>
      <c r="V174" s="560" t="s">
        <v>60</v>
      </c>
      <c r="W174" s="560" t="s">
        <v>100</v>
      </c>
      <c r="X174" s="560" t="s">
        <v>100</v>
      </c>
      <c r="Y174" s="561" t="s">
        <v>100</v>
      </c>
      <c r="Z174" s="561" t="s">
        <v>100</v>
      </c>
      <c r="AA174" s="560" t="s">
        <v>1591</v>
      </c>
      <c r="AB174" s="560" t="s">
        <v>266</v>
      </c>
      <c r="AC174" s="560"/>
    </row>
    <row r="175" spans="1:29" s="577" customFormat="1" ht="80.099999999999994" customHeight="1" x14ac:dyDescent="0.2">
      <c r="A175" s="588" t="s">
        <v>1829</v>
      </c>
      <c r="B175" s="559" t="s">
        <v>1617</v>
      </c>
      <c r="C175" s="560" t="s">
        <v>1596</v>
      </c>
      <c r="D175" s="561" t="s">
        <v>2025</v>
      </c>
      <c r="E175" s="561" t="s">
        <v>1618</v>
      </c>
      <c r="F175" s="560" t="s">
        <v>1329</v>
      </c>
      <c r="G175" s="560" t="s">
        <v>1330</v>
      </c>
      <c r="H175" s="561" t="s">
        <v>121</v>
      </c>
      <c r="I175" s="560">
        <v>40265562000</v>
      </c>
      <c r="J175" s="561" t="s">
        <v>1338</v>
      </c>
      <c r="K175" s="649">
        <v>326840</v>
      </c>
      <c r="L175" s="620">
        <v>326840</v>
      </c>
      <c r="M175" s="560" t="s">
        <v>1598</v>
      </c>
      <c r="N175" s="620">
        <v>326840</v>
      </c>
      <c r="O175" s="562">
        <v>42826</v>
      </c>
      <c r="P175" s="562">
        <v>43100</v>
      </c>
      <c r="Q175" s="560" t="s">
        <v>110</v>
      </c>
      <c r="R175" s="560" t="s">
        <v>114</v>
      </c>
      <c r="S175" s="600" t="s">
        <v>1340</v>
      </c>
      <c r="T175" s="560" t="s">
        <v>100</v>
      </c>
      <c r="U175" s="568" t="s">
        <v>100</v>
      </c>
      <c r="V175" s="560" t="s">
        <v>60</v>
      </c>
      <c r="W175" s="560" t="s">
        <v>100</v>
      </c>
      <c r="X175" s="560" t="s">
        <v>100</v>
      </c>
      <c r="Y175" s="561" t="s">
        <v>100</v>
      </c>
      <c r="Z175" s="561" t="s">
        <v>100</v>
      </c>
      <c r="AA175" s="560" t="s">
        <v>1591</v>
      </c>
      <c r="AB175" s="560" t="s">
        <v>266</v>
      </c>
      <c r="AC175" s="560"/>
    </row>
    <row r="176" spans="1:29" s="577" customFormat="1" ht="80.099999999999994" customHeight="1" x14ac:dyDescent="0.2">
      <c r="A176" s="588" t="s">
        <v>1830</v>
      </c>
      <c r="B176" s="559" t="s">
        <v>1617</v>
      </c>
      <c r="C176" s="560" t="s">
        <v>1596</v>
      </c>
      <c r="D176" s="561" t="s">
        <v>2026</v>
      </c>
      <c r="E176" s="561" t="s">
        <v>1619</v>
      </c>
      <c r="F176" s="560" t="s">
        <v>1329</v>
      </c>
      <c r="G176" s="561" t="s">
        <v>1330</v>
      </c>
      <c r="H176" s="561" t="s">
        <v>121</v>
      </c>
      <c r="I176" s="560">
        <v>40265562000</v>
      </c>
      <c r="J176" s="561" t="s">
        <v>1338</v>
      </c>
      <c r="K176" s="649">
        <v>738774</v>
      </c>
      <c r="L176" s="620">
        <v>738774</v>
      </c>
      <c r="M176" s="560" t="s">
        <v>1598</v>
      </c>
      <c r="N176" s="620">
        <v>738774</v>
      </c>
      <c r="O176" s="562">
        <v>42917</v>
      </c>
      <c r="P176" s="562">
        <v>43070</v>
      </c>
      <c r="Q176" s="560" t="s">
        <v>110</v>
      </c>
      <c r="R176" s="560" t="s">
        <v>114</v>
      </c>
      <c r="S176" s="600" t="s">
        <v>1340</v>
      </c>
      <c r="T176" s="560" t="s">
        <v>100</v>
      </c>
      <c r="U176" s="568" t="s">
        <v>100</v>
      </c>
      <c r="V176" s="560" t="s">
        <v>54</v>
      </c>
      <c r="W176" s="560" t="s">
        <v>100</v>
      </c>
      <c r="X176" s="560" t="s">
        <v>100</v>
      </c>
      <c r="Y176" s="561" t="s">
        <v>100</v>
      </c>
      <c r="Z176" s="561" t="s">
        <v>100</v>
      </c>
      <c r="AA176" s="560" t="s">
        <v>1591</v>
      </c>
      <c r="AB176" s="560" t="s">
        <v>203</v>
      </c>
      <c r="AC176" s="560"/>
    </row>
    <row r="177" spans="1:29" s="577" customFormat="1" ht="80.099999999999994" customHeight="1" x14ac:dyDescent="0.2">
      <c r="A177" s="588" t="s">
        <v>1831</v>
      </c>
      <c r="B177" s="559" t="s">
        <v>1593</v>
      </c>
      <c r="C177" s="560" t="s">
        <v>1599</v>
      </c>
      <c r="D177" s="561" t="s">
        <v>2027</v>
      </c>
      <c r="E177" s="561" t="s">
        <v>1600</v>
      </c>
      <c r="F177" s="560">
        <v>796</v>
      </c>
      <c r="G177" s="560" t="s">
        <v>1601</v>
      </c>
      <c r="H177" s="561" t="s">
        <v>132</v>
      </c>
      <c r="I177" s="560">
        <v>40265562000</v>
      </c>
      <c r="J177" s="561" t="s">
        <v>1338</v>
      </c>
      <c r="K177" s="649">
        <v>700000</v>
      </c>
      <c r="L177" s="620">
        <v>700000</v>
      </c>
      <c r="M177" s="560" t="s">
        <v>1598</v>
      </c>
      <c r="N177" s="620">
        <v>700000</v>
      </c>
      <c r="O177" s="562">
        <v>42917</v>
      </c>
      <c r="P177" s="562">
        <v>43100</v>
      </c>
      <c r="Q177" s="560" t="s">
        <v>110</v>
      </c>
      <c r="R177" s="560" t="s">
        <v>114</v>
      </c>
      <c r="S177" s="600" t="s">
        <v>1340</v>
      </c>
      <c r="T177" s="560" t="s">
        <v>100</v>
      </c>
      <c r="U177" s="568" t="s">
        <v>100</v>
      </c>
      <c r="V177" s="560" t="s">
        <v>54</v>
      </c>
      <c r="W177" s="560" t="s">
        <v>100</v>
      </c>
      <c r="X177" s="560" t="s">
        <v>100</v>
      </c>
      <c r="Y177" s="561" t="s">
        <v>100</v>
      </c>
      <c r="Z177" s="561" t="s">
        <v>100</v>
      </c>
      <c r="AA177" s="560" t="s">
        <v>1591</v>
      </c>
      <c r="AB177" s="560" t="s">
        <v>203</v>
      </c>
      <c r="AC177" s="560"/>
    </row>
    <row r="178" spans="1:29" s="577" customFormat="1" ht="80.099999999999994" customHeight="1" x14ac:dyDescent="0.2">
      <c r="A178" s="588" t="s">
        <v>1832</v>
      </c>
      <c r="B178" s="559" t="s">
        <v>1593</v>
      </c>
      <c r="C178" s="560" t="s">
        <v>1596</v>
      </c>
      <c r="D178" s="561" t="s">
        <v>2028</v>
      </c>
      <c r="E178" s="561" t="s">
        <v>1620</v>
      </c>
      <c r="F178" s="560">
        <v>796</v>
      </c>
      <c r="G178" s="560" t="s">
        <v>1601</v>
      </c>
      <c r="H178" s="561" t="s">
        <v>125</v>
      </c>
      <c r="I178" s="560">
        <v>40265562000</v>
      </c>
      <c r="J178" s="561" t="s">
        <v>1338</v>
      </c>
      <c r="K178" s="649">
        <v>100000</v>
      </c>
      <c r="L178" s="620">
        <v>100000</v>
      </c>
      <c r="M178" s="560" t="s">
        <v>1598</v>
      </c>
      <c r="N178" s="620">
        <v>100000</v>
      </c>
      <c r="O178" s="562">
        <v>42917</v>
      </c>
      <c r="P178" s="562">
        <v>43100</v>
      </c>
      <c r="Q178" s="560" t="s">
        <v>110</v>
      </c>
      <c r="R178" s="560" t="s">
        <v>114</v>
      </c>
      <c r="S178" s="600" t="s">
        <v>1340</v>
      </c>
      <c r="T178" s="560" t="s">
        <v>100</v>
      </c>
      <c r="U178" s="568" t="s">
        <v>100</v>
      </c>
      <c r="V178" s="560" t="s">
        <v>60</v>
      </c>
      <c r="W178" s="560" t="s">
        <v>100</v>
      </c>
      <c r="X178" s="560" t="s">
        <v>100</v>
      </c>
      <c r="Y178" s="561" t="s">
        <v>100</v>
      </c>
      <c r="Z178" s="561" t="s">
        <v>100</v>
      </c>
      <c r="AA178" s="560" t="s">
        <v>1591</v>
      </c>
      <c r="AB178" s="560" t="s">
        <v>266</v>
      </c>
      <c r="AC178" s="560"/>
    </row>
    <row r="179" spans="1:29" s="577" customFormat="1" ht="80.099999999999994" customHeight="1" x14ac:dyDescent="0.2">
      <c r="A179" s="588" t="s">
        <v>1833</v>
      </c>
      <c r="B179" s="559" t="s">
        <v>1593</v>
      </c>
      <c r="C179" s="560" t="s">
        <v>1599</v>
      </c>
      <c r="D179" s="561" t="s">
        <v>2029</v>
      </c>
      <c r="E179" s="561" t="s">
        <v>1600</v>
      </c>
      <c r="F179" s="560">
        <v>796</v>
      </c>
      <c r="G179" s="560" t="s">
        <v>1601</v>
      </c>
      <c r="H179" s="561" t="s">
        <v>122</v>
      </c>
      <c r="I179" s="560">
        <v>40265562000</v>
      </c>
      <c r="J179" s="561" t="s">
        <v>1338</v>
      </c>
      <c r="K179" s="649">
        <v>140000</v>
      </c>
      <c r="L179" s="620">
        <v>140000</v>
      </c>
      <c r="M179" s="560" t="s">
        <v>1598</v>
      </c>
      <c r="N179" s="620">
        <v>140000</v>
      </c>
      <c r="O179" s="562">
        <v>42917</v>
      </c>
      <c r="P179" s="562">
        <v>43100</v>
      </c>
      <c r="Q179" s="560" t="s">
        <v>110</v>
      </c>
      <c r="R179" s="560" t="s">
        <v>114</v>
      </c>
      <c r="S179" s="600" t="s">
        <v>1340</v>
      </c>
      <c r="T179" s="560" t="s">
        <v>100</v>
      </c>
      <c r="U179" s="568" t="s">
        <v>100</v>
      </c>
      <c r="V179" s="560" t="s">
        <v>60</v>
      </c>
      <c r="W179" s="560" t="s">
        <v>100</v>
      </c>
      <c r="X179" s="560" t="s">
        <v>100</v>
      </c>
      <c r="Y179" s="561" t="s">
        <v>100</v>
      </c>
      <c r="Z179" s="561" t="s">
        <v>100</v>
      </c>
      <c r="AA179" s="560" t="s">
        <v>1591</v>
      </c>
      <c r="AB179" s="560" t="s">
        <v>266</v>
      </c>
      <c r="AC179" s="560"/>
    </row>
    <row r="180" spans="1:29" s="577" customFormat="1" ht="80.099999999999994" customHeight="1" x14ac:dyDescent="0.2">
      <c r="A180" s="588" t="s">
        <v>1834</v>
      </c>
      <c r="B180" s="559" t="s">
        <v>1602</v>
      </c>
      <c r="C180" s="560" t="s">
        <v>1603</v>
      </c>
      <c r="D180" s="561" t="s">
        <v>2030</v>
      </c>
      <c r="E180" s="561" t="s">
        <v>1621</v>
      </c>
      <c r="F180" s="560">
        <v>796</v>
      </c>
      <c r="G180" s="560" t="s">
        <v>1601</v>
      </c>
      <c r="H180" s="561" t="s">
        <v>130</v>
      </c>
      <c r="I180" s="560">
        <v>40265562000</v>
      </c>
      <c r="J180" s="561" t="s">
        <v>1338</v>
      </c>
      <c r="K180" s="649">
        <v>162000</v>
      </c>
      <c r="L180" s="620">
        <v>162000</v>
      </c>
      <c r="M180" s="560" t="s">
        <v>1598</v>
      </c>
      <c r="N180" s="620">
        <v>162000</v>
      </c>
      <c r="O180" s="562">
        <v>43009</v>
      </c>
      <c r="P180" s="562">
        <v>43100</v>
      </c>
      <c r="Q180" s="560" t="s">
        <v>110</v>
      </c>
      <c r="R180" s="560" t="s">
        <v>114</v>
      </c>
      <c r="S180" s="600" t="s">
        <v>1340</v>
      </c>
      <c r="T180" s="560" t="s">
        <v>100</v>
      </c>
      <c r="U180" s="568" t="s">
        <v>100</v>
      </c>
      <c r="V180" s="560" t="s">
        <v>51</v>
      </c>
      <c r="W180" s="560" t="s">
        <v>100</v>
      </c>
      <c r="X180" s="560" t="s">
        <v>100</v>
      </c>
      <c r="Y180" s="561" t="s">
        <v>100</v>
      </c>
      <c r="Z180" s="561" t="s">
        <v>100</v>
      </c>
      <c r="AA180" s="560" t="s">
        <v>1591</v>
      </c>
      <c r="AB180" s="560" t="s">
        <v>1592</v>
      </c>
      <c r="AC180" s="560"/>
    </row>
    <row r="181" spans="1:29" s="577" customFormat="1" ht="80.099999999999994" customHeight="1" x14ac:dyDescent="0.2">
      <c r="A181" s="588" t="s">
        <v>1835</v>
      </c>
      <c r="B181" s="559" t="s">
        <v>1593</v>
      </c>
      <c r="C181" s="560" t="s">
        <v>1599</v>
      </c>
      <c r="D181" s="561" t="s">
        <v>2031</v>
      </c>
      <c r="E181" s="561" t="s">
        <v>1600</v>
      </c>
      <c r="F181" s="560">
        <v>796</v>
      </c>
      <c r="G181" s="560" t="s">
        <v>1601</v>
      </c>
      <c r="H181" s="561" t="s">
        <v>125</v>
      </c>
      <c r="I181" s="560">
        <v>40265562000</v>
      </c>
      <c r="J181" s="561" t="s">
        <v>1338</v>
      </c>
      <c r="K181" s="649">
        <v>350000</v>
      </c>
      <c r="L181" s="620">
        <v>350000</v>
      </c>
      <c r="M181" s="560" t="s">
        <v>1598</v>
      </c>
      <c r="N181" s="620">
        <v>350000</v>
      </c>
      <c r="O181" s="562">
        <v>43009</v>
      </c>
      <c r="P181" s="562">
        <v>43100</v>
      </c>
      <c r="Q181" s="560" t="s">
        <v>110</v>
      </c>
      <c r="R181" s="560" t="s">
        <v>114</v>
      </c>
      <c r="S181" s="600" t="s">
        <v>1340</v>
      </c>
      <c r="T181" s="560" t="s">
        <v>100</v>
      </c>
      <c r="U181" s="568" t="s">
        <v>100</v>
      </c>
      <c r="V181" s="560" t="s">
        <v>60</v>
      </c>
      <c r="W181" s="560" t="s">
        <v>100</v>
      </c>
      <c r="X181" s="560" t="s">
        <v>100</v>
      </c>
      <c r="Y181" s="561" t="s">
        <v>100</v>
      </c>
      <c r="Z181" s="561" t="s">
        <v>100</v>
      </c>
      <c r="AA181" s="560" t="s">
        <v>1591</v>
      </c>
      <c r="AB181" s="560" t="s">
        <v>266</v>
      </c>
      <c r="AC181" s="560"/>
    </row>
    <row r="182" spans="1:29" s="577" customFormat="1" ht="80.099999999999994" customHeight="1" x14ac:dyDescent="0.2">
      <c r="A182" s="588" t="s">
        <v>1836</v>
      </c>
      <c r="B182" s="559" t="s">
        <v>1593</v>
      </c>
      <c r="C182" s="560" t="s">
        <v>1599</v>
      </c>
      <c r="D182" s="561" t="s">
        <v>2032</v>
      </c>
      <c r="E182" s="561" t="s">
        <v>1622</v>
      </c>
      <c r="F182" s="560" t="s">
        <v>1329</v>
      </c>
      <c r="G182" s="560" t="s">
        <v>1330</v>
      </c>
      <c r="H182" s="561" t="s">
        <v>121</v>
      </c>
      <c r="I182" s="560">
        <v>40265562000</v>
      </c>
      <c r="J182" s="561" t="s">
        <v>1338</v>
      </c>
      <c r="K182" s="649">
        <v>1798310</v>
      </c>
      <c r="L182" s="620">
        <v>1798310</v>
      </c>
      <c r="M182" s="560" t="s">
        <v>1598</v>
      </c>
      <c r="N182" s="620">
        <v>1798310</v>
      </c>
      <c r="O182" s="562">
        <v>43009</v>
      </c>
      <c r="P182" s="562">
        <v>43100</v>
      </c>
      <c r="Q182" s="560" t="s">
        <v>110</v>
      </c>
      <c r="R182" s="560" t="s">
        <v>114</v>
      </c>
      <c r="S182" s="600" t="s">
        <v>1340</v>
      </c>
      <c r="T182" s="560" t="s">
        <v>100</v>
      </c>
      <c r="U182" s="568" t="s">
        <v>100</v>
      </c>
      <c r="V182" s="560" t="s">
        <v>54</v>
      </c>
      <c r="W182" s="560" t="s">
        <v>100</v>
      </c>
      <c r="X182" s="560" t="s">
        <v>100</v>
      </c>
      <c r="Y182" s="561" t="s">
        <v>100</v>
      </c>
      <c r="Z182" s="561" t="s">
        <v>100</v>
      </c>
      <c r="AA182" s="560" t="s">
        <v>1591</v>
      </c>
      <c r="AB182" s="560" t="s">
        <v>203</v>
      </c>
      <c r="AC182" s="560"/>
    </row>
    <row r="183" spans="1:29" s="577" customFormat="1" ht="80.099999999999994" customHeight="1" x14ac:dyDescent="0.2">
      <c r="A183" s="588" t="s">
        <v>1837</v>
      </c>
      <c r="B183" s="559" t="s">
        <v>1602</v>
      </c>
      <c r="C183" s="560" t="s">
        <v>1603</v>
      </c>
      <c r="D183" s="561" t="s">
        <v>2033</v>
      </c>
      <c r="E183" s="561" t="s">
        <v>1623</v>
      </c>
      <c r="F183" s="560">
        <v>796</v>
      </c>
      <c r="G183" s="560" t="s">
        <v>1601</v>
      </c>
      <c r="H183" s="561" t="s">
        <v>130</v>
      </c>
      <c r="I183" s="560">
        <v>40265562000</v>
      </c>
      <c r="J183" s="561" t="s">
        <v>1338</v>
      </c>
      <c r="K183" s="649">
        <v>100000</v>
      </c>
      <c r="L183" s="620">
        <v>100000</v>
      </c>
      <c r="M183" s="560" t="s">
        <v>1590</v>
      </c>
      <c r="N183" s="620">
        <v>100000</v>
      </c>
      <c r="O183" s="562">
        <v>43009</v>
      </c>
      <c r="P183" s="562">
        <v>43100</v>
      </c>
      <c r="Q183" s="560" t="s">
        <v>110</v>
      </c>
      <c r="R183" s="560" t="s">
        <v>114</v>
      </c>
      <c r="S183" s="600" t="s">
        <v>1340</v>
      </c>
      <c r="T183" s="560" t="s">
        <v>100</v>
      </c>
      <c r="U183" s="568" t="s">
        <v>100</v>
      </c>
      <c r="V183" s="560" t="s">
        <v>60</v>
      </c>
      <c r="W183" s="560" t="s">
        <v>100</v>
      </c>
      <c r="X183" s="560" t="s">
        <v>100</v>
      </c>
      <c r="Y183" s="561" t="s">
        <v>100</v>
      </c>
      <c r="Z183" s="561" t="s">
        <v>100</v>
      </c>
      <c r="AA183" s="560" t="s">
        <v>1591</v>
      </c>
      <c r="AB183" s="560" t="s">
        <v>266</v>
      </c>
      <c r="AC183" s="560"/>
    </row>
    <row r="184" spans="1:29" s="577" customFormat="1" ht="80.099999999999994" customHeight="1" x14ac:dyDescent="0.2">
      <c r="A184" s="588" t="s">
        <v>1838</v>
      </c>
      <c r="B184" s="559" t="s">
        <v>1602</v>
      </c>
      <c r="C184" s="560" t="s">
        <v>1603</v>
      </c>
      <c r="D184" s="561" t="s">
        <v>2034</v>
      </c>
      <c r="E184" s="561" t="s">
        <v>1624</v>
      </c>
      <c r="F184" s="560">
        <v>796</v>
      </c>
      <c r="G184" s="560" t="s">
        <v>1601</v>
      </c>
      <c r="H184" s="561" t="s">
        <v>125</v>
      </c>
      <c r="I184" s="560">
        <v>40265562000</v>
      </c>
      <c r="J184" s="561" t="s">
        <v>1338</v>
      </c>
      <c r="K184" s="649">
        <v>150000</v>
      </c>
      <c r="L184" s="620">
        <v>150000</v>
      </c>
      <c r="M184" s="560" t="s">
        <v>1590</v>
      </c>
      <c r="N184" s="620">
        <v>150000</v>
      </c>
      <c r="O184" s="562">
        <v>43009</v>
      </c>
      <c r="P184" s="562">
        <v>43100</v>
      </c>
      <c r="Q184" s="560" t="s">
        <v>110</v>
      </c>
      <c r="R184" s="560" t="s">
        <v>114</v>
      </c>
      <c r="S184" s="600" t="s">
        <v>1340</v>
      </c>
      <c r="T184" s="560" t="s">
        <v>100</v>
      </c>
      <c r="U184" s="568" t="s">
        <v>100</v>
      </c>
      <c r="V184" s="560" t="s">
        <v>51</v>
      </c>
      <c r="W184" s="560" t="s">
        <v>100</v>
      </c>
      <c r="X184" s="560" t="s">
        <v>100</v>
      </c>
      <c r="Y184" s="561" t="s">
        <v>100</v>
      </c>
      <c r="Z184" s="561" t="s">
        <v>100</v>
      </c>
      <c r="AA184" s="560" t="s">
        <v>1591</v>
      </c>
      <c r="AB184" s="560" t="s">
        <v>1592</v>
      </c>
      <c r="AC184" s="560"/>
    </row>
    <row r="185" spans="1:29" s="635" customFormat="1" ht="80.099999999999994" customHeight="1" x14ac:dyDescent="0.2">
      <c r="A185" s="588" t="s">
        <v>1839</v>
      </c>
      <c r="B185" s="538" t="s">
        <v>1602</v>
      </c>
      <c r="C185" s="539" t="s">
        <v>1603</v>
      </c>
      <c r="D185" s="540" t="s">
        <v>2035</v>
      </c>
      <c r="E185" s="540" t="s">
        <v>1625</v>
      </c>
      <c r="F185" s="539">
        <v>796</v>
      </c>
      <c r="G185" s="539" t="s">
        <v>1330</v>
      </c>
      <c r="H185" s="540" t="s">
        <v>1626</v>
      </c>
      <c r="I185" s="539">
        <v>40265562000</v>
      </c>
      <c r="J185" s="540" t="s">
        <v>1338</v>
      </c>
      <c r="K185" s="541">
        <v>1701475</v>
      </c>
      <c r="L185" s="639">
        <v>1701475</v>
      </c>
      <c r="M185" s="539" t="s">
        <v>1627</v>
      </c>
      <c r="N185" s="639">
        <v>1701475</v>
      </c>
      <c r="O185" s="542">
        <v>42795</v>
      </c>
      <c r="P185" s="542">
        <v>42887</v>
      </c>
      <c r="Q185" s="539" t="s">
        <v>110</v>
      </c>
      <c r="R185" s="539" t="s">
        <v>114</v>
      </c>
      <c r="S185" s="600" t="s">
        <v>1340</v>
      </c>
      <c r="T185" s="539" t="s">
        <v>100</v>
      </c>
      <c r="U185" s="631" t="s">
        <v>100</v>
      </c>
      <c r="V185" s="539" t="s">
        <v>54</v>
      </c>
      <c r="W185" s="539" t="s">
        <v>100</v>
      </c>
      <c r="X185" s="539" t="s">
        <v>100</v>
      </c>
      <c r="Y185" s="631" t="s">
        <v>100</v>
      </c>
      <c r="Z185" s="540" t="s">
        <v>100</v>
      </c>
      <c r="AA185" s="539" t="s">
        <v>1591</v>
      </c>
      <c r="AB185" s="539" t="s">
        <v>203</v>
      </c>
      <c r="AC185" s="540" t="s">
        <v>1628</v>
      </c>
    </row>
    <row r="186" spans="1:29" s="577" customFormat="1" ht="80.099999999999994" customHeight="1" x14ac:dyDescent="0.2">
      <c r="A186" s="588" t="s">
        <v>1840</v>
      </c>
      <c r="B186" s="559" t="s">
        <v>1602</v>
      </c>
      <c r="C186" s="560" t="s">
        <v>1603</v>
      </c>
      <c r="D186" s="561" t="s">
        <v>2036</v>
      </c>
      <c r="E186" s="561" t="s">
        <v>1625</v>
      </c>
      <c r="F186" s="560">
        <v>796</v>
      </c>
      <c r="G186" s="560" t="s">
        <v>1330</v>
      </c>
      <c r="H186" s="561" t="s">
        <v>219</v>
      </c>
      <c r="I186" s="560">
        <v>40265562000</v>
      </c>
      <c r="J186" s="561" t="s">
        <v>1338</v>
      </c>
      <c r="K186" s="649">
        <v>1365675</v>
      </c>
      <c r="L186" s="620">
        <v>1365675</v>
      </c>
      <c r="M186" s="560" t="s">
        <v>1629</v>
      </c>
      <c r="N186" s="620">
        <v>1365675</v>
      </c>
      <c r="O186" s="562">
        <v>42795</v>
      </c>
      <c r="P186" s="562">
        <v>42887</v>
      </c>
      <c r="Q186" s="560" t="s">
        <v>110</v>
      </c>
      <c r="R186" s="560" t="s">
        <v>114</v>
      </c>
      <c r="S186" s="600" t="s">
        <v>1340</v>
      </c>
      <c r="T186" s="560" t="s">
        <v>100</v>
      </c>
      <c r="U186" s="568" t="s">
        <v>100</v>
      </c>
      <c r="V186" s="560" t="s">
        <v>54</v>
      </c>
      <c r="W186" s="560" t="s">
        <v>100</v>
      </c>
      <c r="X186" s="560" t="s">
        <v>100</v>
      </c>
      <c r="Y186" s="568" t="s">
        <v>100</v>
      </c>
      <c r="Z186" s="561" t="s">
        <v>100</v>
      </c>
      <c r="AA186" s="560" t="s">
        <v>1591</v>
      </c>
      <c r="AB186" s="560" t="s">
        <v>203</v>
      </c>
      <c r="AC186" s="561" t="s">
        <v>1628</v>
      </c>
    </row>
    <row r="187" spans="1:29" s="577" customFormat="1" ht="80.099999999999994" customHeight="1" x14ac:dyDescent="0.2">
      <c r="A187" s="588" t="s">
        <v>1841</v>
      </c>
      <c r="B187" s="559" t="s">
        <v>1602</v>
      </c>
      <c r="C187" s="560" t="s">
        <v>1603</v>
      </c>
      <c r="D187" s="561" t="s">
        <v>2037</v>
      </c>
      <c r="E187" s="561" t="s">
        <v>1630</v>
      </c>
      <c r="F187" s="560">
        <v>796</v>
      </c>
      <c r="G187" s="560" t="s">
        <v>1330</v>
      </c>
      <c r="H187" s="561" t="s">
        <v>1631</v>
      </c>
      <c r="I187" s="560">
        <v>40265562000</v>
      </c>
      <c r="J187" s="561" t="s">
        <v>1338</v>
      </c>
      <c r="K187" s="649">
        <v>900000</v>
      </c>
      <c r="L187" s="620">
        <v>900000</v>
      </c>
      <c r="M187" s="560" t="s">
        <v>1632</v>
      </c>
      <c r="N187" s="620">
        <v>900000</v>
      </c>
      <c r="O187" s="562">
        <v>42795</v>
      </c>
      <c r="P187" s="562">
        <v>42887</v>
      </c>
      <c r="Q187" s="560" t="s">
        <v>110</v>
      </c>
      <c r="R187" s="560" t="s">
        <v>114</v>
      </c>
      <c r="S187" s="600" t="s">
        <v>1340</v>
      </c>
      <c r="T187" s="560" t="s">
        <v>100</v>
      </c>
      <c r="U187" s="568" t="s">
        <v>100</v>
      </c>
      <c r="V187" s="560" t="s">
        <v>1633</v>
      </c>
      <c r="W187" s="560" t="s">
        <v>100</v>
      </c>
      <c r="X187" s="560" t="s">
        <v>100</v>
      </c>
      <c r="Y187" s="568" t="s">
        <v>100</v>
      </c>
      <c r="Z187" s="561" t="s">
        <v>100</v>
      </c>
      <c r="AA187" s="560" t="s">
        <v>1591</v>
      </c>
      <c r="AB187" s="560" t="s">
        <v>203</v>
      </c>
      <c r="AC187" s="561" t="s">
        <v>1634</v>
      </c>
    </row>
    <row r="188" spans="1:29" s="577" customFormat="1" ht="80.099999999999994" customHeight="1" x14ac:dyDescent="0.2">
      <c r="A188" s="588" t="s">
        <v>1842</v>
      </c>
      <c r="B188" s="664" t="s">
        <v>1593</v>
      </c>
      <c r="C188" s="665" t="s">
        <v>1599</v>
      </c>
      <c r="D188" s="666" t="s">
        <v>2038</v>
      </c>
      <c r="E188" s="666" t="s">
        <v>1630</v>
      </c>
      <c r="F188" s="665">
        <v>796</v>
      </c>
      <c r="G188" s="665" t="s">
        <v>1330</v>
      </c>
      <c r="H188" s="666" t="s">
        <v>1635</v>
      </c>
      <c r="I188" s="665">
        <v>40265562000</v>
      </c>
      <c r="J188" s="666" t="s">
        <v>1338</v>
      </c>
      <c r="K188" s="667">
        <v>1520000</v>
      </c>
      <c r="L188" s="668">
        <v>1520000</v>
      </c>
      <c r="M188" s="665" t="s">
        <v>1636</v>
      </c>
      <c r="N188" s="668">
        <v>1520000</v>
      </c>
      <c r="O188" s="669">
        <v>42795</v>
      </c>
      <c r="P188" s="669">
        <v>42887</v>
      </c>
      <c r="Q188" s="665" t="s">
        <v>110</v>
      </c>
      <c r="R188" s="665" t="s">
        <v>114</v>
      </c>
      <c r="S188" s="660" t="s">
        <v>1340</v>
      </c>
      <c r="T188" s="665" t="s">
        <v>100</v>
      </c>
      <c r="U188" s="670" t="s">
        <v>100</v>
      </c>
      <c r="V188" s="665" t="s">
        <v>1633</v>
      </c>
      <c r="W188" s="665" t="s">
        <v>100</v>
      </c>
      <c r="X188" s="665" t="s">
        <v>100</v>
      </c>
      <c r="Y188" s="670" t="s">
        <v>100</v>
      </c>
      <c r="Z188" s="666" t="s">
        <v>100</v>
      </c>
      <c r="AA188" s="665" t="s">
        <v>1591</v>
      </c>
      <c r="AB188" s="665" t="s">
        <v>203</v>
      </c>
      <c r="AC188" s="666" t="s">
        <v>1637</v>
      </c>
    </row>
    <row r="189" spans="1:29" ht="114.75" x14ac:dyDescent="0.25">
      <c r="A189" s="662" t="s">
        <v>1843</v>
      </c>
      <c r="B189" s="546" t="s">
        <v>1640</v>
      </c>
      <c r="C189" s="546" t="s">
        <v>1641</v>
      </c>
      <c r="D189" s="553" t="s">
        <v>2039</v>
      </c>
      <c r="E189" s="553" t="s">
        <v>1642</v>
      </c>
      <c r="F189" s="553" t="s">
        <v>1329</v>
      </c>
      <c r="G189" s="553" t="s">
        <v>1330</v>
      </c>
      <c r="H189" s="553">
        <v>1</v>
      </c>
      <c r="I189" s="553">
        <v>40273562000</v>
      </c>
      <c r="J189" s="553" t="s">
        <v>1537</v>
      </c>
      <c r="K189" s="541">
        <v>800000</v>
      </c>
      <c r="L189" s="652">
        <v>800000</v>
      </c>
      <c r="M189" s="642" t="s">
        <v>1643</v>
      </c>
      <c r="N189" s="652">
        <v>800000</v>
      </c>
      <c r="O189" s="574">
        <v>42736</v>
      </c>
      <c r="P189" s="574">
        <v>42887</v>
      </c>
      <c r="Q189" s="553" t="s">
        <v>112</v>
      </c>
      <c r="R189" s="553" t="s">
        <v>115</v>
      </c>
      <c r="S189" s="642" t="s">
        <v>100</v>
      </c>
      <c r="T189" s="642" t="s">
        <v>100</v>
      </c>
      <c r="U189" s="642" t="s">
        <v>100</v>
      </c>
      <c r="V189" s="642" t="s">
        <v>45</v>
      </c>
      <c r="W189" s="642" t="s">
        <v>72</v>
      </c>
      <c r="X189" s="642">
        <v>7705163656</v>
      </c>
      <c r="Y189" s="642" t="s">
        <v>1644</v>
      </c>
      <c r="Z189" s="652">
        <v>800000</v>
      </c>
      <c r="AA189" s="642" t="s">
        <v>1645</v>
      </c>
      <c r="AB189" s="642" t="s">
        <v>266</v>
      </c>
      <c r="AC189" s="642" t="s">
        <v>1643</v>
      </c>
    </row>
    <row r="190" spans="1:29" ht="102" x14ac:dyDescent="0.25">
      <c r="A190" s="663" t="s">
        <v>1844</v>
      </c>
      <c r="B190" s="546" t="s">
        <v>1640</v>
      </c>
      <c r="C190" s="546" t="s">
        <v>1641</v>
      </c>
      <c r="D190" s="553" t="s">
        <v>2040</v>
      </c>
      <c r="E190" s="553" t="s">
        <v>1642</v>
      </c>
      <c r="F190" s="553" t="s">
        <v>1329</v>
      </c>
      <c r="G190" s="553" t="s">
        <v>1330</v>
      </c>
      <c r="H190" s="553">
        <v>1</v>
      </c>
      <c r="I190" s="553">
        <v>40273562000</v>
      </c>
      <c r="J190" s="553" t="s">
        <v>1537</v>
      </c>
      <c r="K190" s="541">
        <v>3000000</v>
      </c>
      <c r="L190" s="652">
        <v>3000000</v>
      </c>
      <c r="M190" s="642" t="s">
        <v>1643</v>
      </c>
      <c r="N190" s="652">
        <v>3000000</v>
      </c>
      <c r="O190" s="574">
        <v>42736</v>
      </c>
      <c r="P190" s="574">
        <v>42887</v>
      </c>
      <c r="Q190" s="553" t="s">
        <v>112</v>
      </c>
      <c r="R190" s="553" t="s">
        <v>115</v>
      </c>
      <c r="S190" s="642" t="s">
        <v>100</v>
      </c>
      <c r="T190" s="642" t="s">
        <v>100</v>
      </c>
      <c r="U190" s="642" t="s">
        <v>100</v>
      </c>
      <c r="V190" s="642" t="s">
        <v>45</v>
      </c>
      <c r="W190" s="642" t="s">
        <v>72</v>
      </c>
      <c r="X190" s="642">
        <v>7804302727</v>
      </c>
      <c r="Y190" s="642" t="s">
        <v>1646</v>
      </c>
      <c r="Z190" s="652">
        <v>3000000</v>
      </c>
      <c r="AA190" s="642" t="s">
        <v>1645</v>
      </c>
      <c r="AB190" s="642" t="s">
        <v>266</v>
      </c>
      <c r="AC190" s="642" t="s">
        <v>1643</v>
      </c>
    </row>
    <row r="191" spans="1:29" ht="76.5" x14ac:dyDescent="0.25">
      <c r="A191" s="662" t="s">
        <v>1845</v>
      </c>
      <c r="B191" s="546" t="s">
        <v>1640</v>
      </c>
      <c r="C191" s="546" t="s">
        <v>1641</v>
      </c>
      <c r="D191" s="553" t="s">
        <v>2041</v>
      </c>
      <c r="E191" s="553" t="s">
        <v>1642</v>
      </c>
      <c r="F191" s="553" t="s">
        <v>1329</v>
      </c>
      <c r="G191" s="553" t="s">
        <v>1330</v>
      </c>
      <c r="H191" s="553">
        <v>1</v>
      </c>
      <c r="I191" s="553">
        <v>40273562000</v>
      </c>
      <c r="J191" s="553" t="s">
        <v>1537</v>
      </c>
      <c r="K191" s="541">
        <v>1000000</v>
      </c>
      <c r="L191" s="652">
        <v>1000000</v>
      </c>
      <c r="M191" s="642" t="s">
        <v>1643</v>
      </c>
      <c r="N191" s="652">
        <v>1000000</v>
      </c>
      <c r="O191" s="574">
        <v>42736</v>
      </c>
      <c r="P191" s="574">
        <v>42887</v>
      </c>
      <c r="Q191" s="553" t="s">
        <v>112</v>
      </c>
      <c r="R191" s="553" t="s">
        <v>115</v>
      </c>
      <c r="S191" s="642" t="s">
        <v>100</v>
      </c>
      <c r="T191" s="642" t="s">
        <v>100</v>
      </c>
      <c r="U191" s="642" t="s">
        <v>100</v>
      </c>
      <c r="V191" s="642" t="s">
        <v>45</v>
      </c>
      <c r="W191" s="642" t="s">
        <v>72</v>
      </c>
      <c r="X191" s="642">
        <v>7804541789</v>
      </c>
      <c r="Y191" s="642" t="s">
        <v>1647</v>
      </c>
      <c r="Z191" s="652">
        <v>1000000</v>
      </c>
      <c r="AA191" s="642" t="s">
        <v>1648</v>
      </c>
      <c r="AB191" s="642" t="s">
        <v>266</v>
      </c>
      <c r="AC191" s="642" t="s">
        <v>1643</v>
      </c>
    </row>
    <row r="192" spans="1:29" ht="76.5" x14ac:dyDescent="0.25">
      <c r="A192" s="662" t="s">
        <v>1846</v>
      </c>
      <c r="B192" s="546" t="s">
        <v>1640</v>
      </c>
      <c r="C192" s="546" t="s">
        <v>1641</v>
      </c>
      <c r="D192" s="553" t="s">
        <v>2042</v>
      </c>
      <c r="E192" s="553" t="s">
        <v>1642</v>
      </c>
      <c r="F192" s="553" t="s">
        <v>1329</v>
      </c>
      <c r="G192" s="553" t="s">
        <v>1330</v>
      </c>
      <c r="H192" s="553">
        <v>1</v>
      </c>
      <c r="I192" s="553">
        <v>40273562000</v>
      </c>
      <c r="J192" s="553" t="s">
        <v>1537</v>
      </c>
      <c r="K192" s="541">
        <v>1000000</v>
      </c>
      <c r="L192" s="652">
        <v>1000000</v>
      </c>
      <c r="M192" s="642" t="s">
        <v>1649</v>
      </c>
      <c r="N192" s="652">
        <v>1000000</v>
      </c>
      <c r="O192" s="574">
        <v>42826</v>
      </c>
      <c r="P192" s="574">
        <v>43040</v>
      </c>
      <c r="Q192" s="553" t="s">
        <v>112</v>
      </c>
      <c r="R192" s="553" t="s">
        <v>115</v>
      </c>
      <c r="S192" s="642" t="s">
        <v>100</v>
      </c>
      <c r="T192" s="642" t="s">
        <v>100</v>
      </c>
      <c r="U192" s="642" t="s">
        <v>100</v>
      </c>
      <c r="V192" s="642" t="s">
        <v>45</v>
      </c>
      <c r="W192" s="642" t="s">
        <v>72</v>
      </c>
      <c r="X192" s="642">
        <v>7804302727</v>
      </c>
      <c r="Y192" s="642" t="s">
        <v>1646</v>
      </c>
      <c r="Z192" s="652">
        <v>1000000</v>
      </c>
      <c r="AA192" s="642" t="s">
        <v>1650</v>
      </c>
      <c r="AB192" s="642" t="s">
        <v>266</v>
      </c>
      <c r="AC192" s="642" t="s">
        <v>1649</v>
      </c>
    </row>
    <row r="193" spans="1:29" ht="76.5" x14ac:dyDescent="0.25">
      <c r="A193" s="662" t="s">
        <v>1847</v>
      </c>
      <c r="B193" s="546" t="s">
        <v>1640</v>
      </c>
      <c r="C193" s="546" t="s">
        <v>1641</v>
      </c>
      <c r="D193" s="553" t="s">
        <v>2043</v>
      </c>
      <c r="E193" s="553" t="s">
        <v>1642</v>
      </c>
      <c r="F193" s="553" t="s">
        <v>1329</v>
      </c>
      <c r="G193" s="553" t="s">
        <v>1330</v>
      </c>
      <c r="H193" s="553">
        <v>1</v>
      </c>
      <c r="I193" s="553">
        <v>40273562000</v>
      </c>
      <c r="J193" s="553" t="s">
        <v>1537</v>
      </c>
      <c r="K193" s="541">
        <v>1000000</v>
      </c>
      <c r="L193" s="652">
        <v>1000000</v>
      </c>
      <c r="M193" s="642" t="s">
        <v>1649</v>
      </c>
      <c r="N193" s="652">
        <v>1000000</v>
      </c>
      <c r="O193" s="574">
        <v>42826</v>
      </c>
      <c r="P193" s="574">
        <v>43040</v>
      </c>
      <c r="Q193" s="553" t="s">
        <v>112</v>
      </c>
      <c r="R193" s="553" t="s">
        <v>115</v>
      </c>
      <c r="S193" s="642" t="s">
        <v>100</v>
      </c>
      <c r="T193" s="642" t="s">
        <v>100</v>
      </c>
      <c r="U193" s="642" t="s">
        <v>100</v>
      </c>
      <c r="V193" s="642" t="s">
        <v>45</v>
      </c>
      <c r="W193" s="642" t="s">
        <v>72</v>
      </c>
      <c r="X193" s="642">
        <v>7705163656</v>
      </c>
      <c r="Y193" s="642" t="s">
        <v>1644</v>
      </c>
      <c r="Z193" s="652">
        <v>1000000</v>
      </c>
      <c r="AA193" s="642" t="s">
        <v>1651</v>
      </c>
      <c r="AB193" s="642" t="s">
        <v>266</v>
      </c>
      <c r="AC193" s="642" t="s">
        <v>1649</v>
      </c>
    </row>
    <row r="194" spans="1:29" ht="63.75" x14ac:dyDescent="0.25">
      <c r="A194" s="662" t="s">
        <v>1848</v>
      </c>
      <c r="B194" s="546" t="s">
        <v>1640</v>
      </c>
      <c r="C194" s="546" t="s">
        <v>1641</v>
      </c>
      <c r="D194" s="553" t="s">
        <v>2044</v>
      </c>
      <c r="E194" s="553" t="s">
        <v>1642</v>
      </c>
      <c r="F194" s="553" t="s">
        <v>1329</v>
      </c>
      <c r="G194" s="553" t="s">
        <v>1330</v>
      </c>
      <c r="H194" s="553">
        <v>1</v>
      </c>
      <c r="I194" s="553">
        <v>40273562000</v>
      </c>
      <c r="J194" s="553" t="s">
        <v>1537</v>
      </c>
      <c r="K194" s="541">
        <v>4200000</v>
      </c>
      <c r="L194" s="652">
        <v>4200000</v>
      </c>
      <c r="M194" s="642" t="s">
        <v>1652</v>
      </c>
      <c r="N194" s="652">
        <v>4200000</v>
      </c>
      <c r="O194" s="574">
        <v>42736</v>
      </c>
      <c r="P194" s="574">
        <v>42887</v>
      </c>
      <c r="Q194" s="553" t="s">
        <v>110</v>
      </c>
      <c r="R194" s="553" t="s">
        <v>1350</v>
      </c>
      <c r="S194" s="600" t="s">
        <v>1340</v>
      </c>
      <c r="T194" s="642" t="s">
        <v>100</v>
      </c>
      <c r="U194" s="642" t="s">
        <v>100</v>
      </c>
      <c r="V194" s="642" t="s">
        <v>45</v>
      </c>
      <c r="W194" s="642" t="s">
        <v>100</v>
      </c>
      <c r="X194" s="642" t="s">
        <v>100</v>
      </c>
      <c r="Y194" s="642" t="s">
        <v>100</v>
      </c>
      <c r="Z194" s="642" t="s">
        <v>100</v>
      </c>
      <c r="AA194" s="642" t="s">
        <v>1653</v>
      </c>
      <c r="AB194" s="642" t="s">
        <v>266</v>
      </c>
      <c r="AC194" s="642" t="s">
        <v>1654</v>
      </c>
    </row>
    <row r="195" spans="1:29" ht="63.75" x14ac:dyDescent="0.25">
      <c r="A195" s="662" t="s">
        <v>1849</v>
      </c>
      <c r="B195" s="546" t="s">
        <v>1640</v>
      </c>
      <c r="C195" s="546" t="s">
        <v>1641</v>
      </c>
      <c r="D195" s="553" t="s">
        <v>2045</v>
      </c>
      <c r="E195" s="553" t="s">
        <v>1642</v>
      </c>
      <c r="F195" s="553" t="s">
        <v>1329</v>
      </c>
      <c r="G195" s="553" t="s">
        <v>1330</v>
      </c>
      <c r="H195" s="553">
        <v>1</v>
      </c>
      <c r="I195" s="553">
        <v>40273562000</v>
      </c>
      <c r="J195" s="553" t="s">
        <v>1537</v>
      </c>
      <c r="K195" s="541">
        <v>4500000</v>
      </c>
      <c r="L195" s="652">
        <v>4500000</v>
      </c>
      <c r="M195" s="642" t="s">
        <v>1652</v>
      </c>
      <c r="N195" s="652">
        <v>4500000</v>
      </c>
      <c r="O195" s="574">
        <v>42736</v>
      </c>
      <c r="P195" s="574">
        <v>42795</v>
      </c>
      <c r="Q195" s="553" t="s">
        <v>110</v>
      </c>
      <c r="R195" s="553" t="s">
        <v>1350</v>
      </c>
      <c r="S195" s="600" t="s">
        <v>1340</v>
      </c>
      <c r="T195" s="642" t="s">
        <v>100</v>
      </c>
      <c r="U195" s="642" t="s">
        <v>100</v>
      </c>
      <c r="V195" s="642" t="s">
        <v>45</v>
      </c>
      <c r="W195" s="642" t="s">
        <v>100</v>
      </c>
      <c r="X195" s="642" t="s">
        <v>100</v>
      </c>
      <c r="Y195" s="642" t="s">
        <v>100</v>
      </c>
      <c r="Z195" s="642" t="s">
        <v>100</v>
      </c>
      <c r="AA195" s="642" t="s">
        <v>1653</v>
      </c>
      <c r="AB195" s="642" t="s">
        <v>266</v>
      </c>
      <c r="AC195" s="642" t="s">
        <v>1654</v>
      </c>
    </row>
    <row r="196" spans="1:29" ht="63.75" x14ac:dyDescent="0.25">
      <c r="A196" s="662" t="s">
        <v>1850</v>
      </c>
      <c r="B196" s="546" t="s">
        <v>1640</v>
      </c>
      <c r="C196" s="546" t="s">
        <v>1641</v>
      </c>
      <c r="D196" s="553" t="s">
        <v>2046</v>
      </c>
      <c r="E196" s="553" t="s">
        <v>1642</v>
      </c>
      <c r="F196" s="553" t="s">
        <v>1329</v>
      </c>
      <c r="G196" s="553" t="s">
        <v>1330</v>
      </c>
      <c r="H196" s="553">
        <v>1</v>
      </c>
      <c r="I196" s="553">
        <v>40273562000</v>
      </c>
      <c r="J196" s="553" t="s">
        <v>1537</v>
      </c>
      <c r="K196" s="541">
        <v>3000000</v>
      </c>
      <c r="L196" s="652">
        <v>3000000</v>
      </c>
      <c r="M196" s="642" t="s">
        <v>1652</v>
      </c>
      <c r="N196" s="652">
        <v>3000000</v>
      </c>
      <c r="O196" s="574">
        <v>42736</v>
      </c>
      <c r="P196" s="574">
        <v>42887</v>
      </c>
      <c r="Q196" s="553" t="s">
        <v>110</v>
      </c>
      <c r="R196" s="553" t="s">
        <v>1350</v>
      </c>
      <c r="S196" s="600" t="s">
        <v>1340</v>
      </c>
      <c r="T196" s="642" t="s">
        <v>100</v>
      </c>
      <c r="U196" s="642" t="s">
        <v>100</v>
      </c>
      <c r="V196" s="642" t="s">
        <v>45</v>
      </c>
      <c r="W196" s="642" t="s">
        <v>100</v>
      </c>
      <c r="X196" s="642" t="s">
        <v>100</v>
      </c>
      <c r="Y196" s="642" t="s">
        <v>100</v>
      </c>
      <c r="Z196" s="642" t="s">
        <v>100</v>
      </c>
      <c r="AA196" s="642" t="s">
        <v>1653</v>
      </c>
      <c r="AB196" s="642" t="s">
        <v>266</v>
      </c>
      <c r="AC196" s="642" t="s">
        <v>1654</v>
      </c>
    </row>
    <row r="197" spans="1:29" ht="63.75" x14ac:dyDescent="0.25">
      <c r="A197" s="662" t="s">
        <v>1851</v>
      </c>
      <c r="B197" s="546" t="s">
        <v>1640</v>
      </c>
      <c r="C197" s="546" t="s">
        <v>1641</v>
      </c>
      <c r="D197" s="553" t="s">
        <v>2047</v>
      </c>
      <c r="E197" s="553" t="s">
        <v>1642</v>
      </c>
      <c r="F197" s="553" t="s">
        <v>1329</v>
      </c>
      <c r="G197" s="553" t="s">
        <v>1330</v>
      </c>
      <c r="H197" s="553">
        <v>1</v>
      </c>
      <c r="I197" s="553">
        <v>40273562000</v>
      </c>
      <c r="J197" s="553" t="s">
        <v>1537</v>
      </c>
      <c r="K197" s="541">
        <v>3000000</v>
      </c>
      <c r="L197" s="652">
        <v>3000000</v>
      </c>
      <c r="M197" s="642" t="s">
        <v>1652</v>
      </c>
      <c r="N197" s="652">
        <v>3000000</v>
      </c>
      <c r="O197" s="574">
        <v>42736</v>
      </c>
      <c r="P197" s="574">
        <v>42887</v>
      </c>
      <c r="Q197" s="553" t="s">
        <v>110</v>
      </c>
      <c r="R197" s="553" t="s">
        <v>1350</v>
      </c>
      <c r="S197" s="600" t="s">
        <v>1340</v>
      </c>
      <c r="T197" s="642" t="s">
        <v>100</v>
      </c>
      <c r="U197" s="642" t="s">
        <v>100</v>
      </c>
      <c r="V197" s="642" t="s">
        <v>45</v>
      </c>
      <c r="W197" s="642" t="s">
        <v>100</v>
      </c>
      <c r="X197" s="642" t="s">
        <v>100</v>
      </c>
      <c r="Y197" s="642" t="s">
        <v>100</v>
      </c>
      <c r="Z197" s="642" t="s">
        <v>100</v>
      </c>
      <c r="AA197" s="642" t="s">
        <v>1655</v>
      </c>
      <c r="AB197" s="642" t="s">
        <v>266</v>
      </c>
      <c r="AC197" s="642" t="s">
        <v>1654</v>
      </c>
    </row>
    <row r="198" spans="1:29" ht="76.5" x14ac:dyDescent="0.25">
      <c r="A198" s="657" t="s">
        <v>1852</v>
      </c>
      <c r="B198" s="671" t="s">
        <v>1640</v>
      </c>
      <c r="C198" s="671" t="s">
        <v>1641</v>
      </c>
      <c r="D198" s="672" t="s">
        <v>2048</v>
      </c>
      <c r="E198" s="672" t="s">
        <v>1642</v>
      </c>
      <c r="F198" s="672" t="s">
        <v>1329</v>
      </c>
      <c r="G198" s="672" t="s">
        <v>1330</v>
      </c>
      <c r="H198" s="672">
        <v>1</v>
      </c>
      <c r="I198" s="672">
        <v>40273562000</v>
      </c>
      <c r="J198" s="672" t="s">
        <v>1537</v>
      </c>
      <c r="K198" s="673">
        <v>1800000</v>
      </c>
      <c r="L198" s="674">
        <v>1800000</v>
      </c>
      <c r="M198" s="675" t="s">
        <v>1652</v>
      </c>
      <c r="N198" s="674">
        <v>1800000</v>
      </c>
      <c r="O198" s="676">
        <v>42736</v>
      </c>
      <c r="P198" s="677">
        <v>42826</v>
      </c>
      <c r="Q198" s="658" t="s">
        <v>110</v>
      </c>
      <c r="R198" s="658" t="s">
        <v>1350</v>
      </c>
      <c r="S198" s="678" t="s">
        <v>1340</v>
      </c>
      <c r="T198" s="679" t="s">
        <v>100</v>
      </c>
      <c r="U198" s="659" t="s">
        <v>100</v>
      </c>
      <c r="V198" s="680" t="s">
        <v>45</v>
      </c>
      <c r="W198" s="659" t="s">
        <v>100</v>
      </c>
      <c r="X198" s="659" t="s">
        <v>100</v>
      </c>
      <c r="Y198" s="659" t="s">
        <v>100</v>
      </c>
      <c r="Z198" s="659" t="s">
        <v>100</v>
      </c>
      <c r="AA198" s="679" t="s">
        <v>1653</v>
      </c>
      <c r="AB198" s="679" t="s">
        <v>266</v>
      </c>
      <c r="AC198" s="681" t="s">
        <v>1656</v>
      </c>
    </row>
    <row r="199" spans="1:29" ht="123.75" customHeight="1" x14ac:dyDescent="0.25">
      <c r="A199" s="588" t="s">
        <v>1853</v>
      </c>
      <c r="B199" s="546" t="s">
        <v>1640</v>
      </c>
      <c r="C199" s="546" t="s">
        <v>1641</v>
      </c>
      <c r="D199" s="553" t="s">
        <v>2049</v>
      </c>
      <c r="E199" s="553" t="s">
        <v>1642</v>
      </c>
      <c r="F199" s="553" t="s">
        <v>1329</v>
      </c>
      <c r="G199" s="553" t="s">
        <v>1330</v>
      </c>
      <c r="H199" s="553">
        <v>1</v>
      </c>
      <c r="I199" s="553">
        <v>40273562000</v>
      </c>
      <c r="J199" s="553" t="s">
        <v>1537</v>
      </c>
      <c r="K199" s="541">
        <v>1717000</v>
      </c>
      <c r="L199" s="652">
        <v>1717000</v>
      </c>
      <c r="M199" s="642" t="s">
        <v>1652</v>
      </c>
      <c r="N199" s="652">
        <v>1717000</v>
      </c>
      <c r="O199" s="574">
        <v>42736</v>
      </c>
      <c r="P199" s="574">
        <v>42767</v>
      </c>
      <c r="Q199" s="553" t="s">
        <v>110</v>
      </c>
      <c r="R199" s="553" t="s">
        <v>1350</v>
      </c>
      <c r="S199" s="600" t="s">
        <v>1340</v>
      </c>
      <c r="T199" s="642" t="s">
        <v>100</v>
      </c>
      <c r="U199" s="642" t="s">
        <v>100</v>
      </c>
      <c r="V199" s="642" t="s">
        <v>45</v>
      </c>
      <c r="W199" s="642" t="s">
        <v>100</v>
      </c>
      <c r="X199" s="642" t="s">
        <v>100</v>
      </c>
      <c r="Y199" s="642" t="s">
        <v>100</v>
      </c>
      <c r="Z199" s="642" t="s">
        <v>100</v>
      </c>
      <c r="AA199" s="642" t="s">
        <v>1653</v>
      </c>
      <c r="AB199" s="642" t="s">
        <v>266</v>
      </c>
      <c r="AC199" s="642" t="s">
        <v>1656</v>
      </c>
    </row>
    <row r="200" spans="1:29" ht="114.75" x14ac:dyDescent="0.25">
      <c r="A200" s="588" t="s">
        <v>1854</v>
      </c>
      <c r="B200" s="546" t="s">
        <v>1640</v>
      </c>
      <c r="C200" s="546" t="s">
        <v>1641</v>
      </c>
      <c r="D200" s="553" t="s">
        <v>2050</v>
      </c>
      <c r="E200" s="553" t="s">
        <v>1642</v>
      </c>
      <c r="F200" s="553">
        <v>876</v>
      </c>
      <c r="G200" s="553" t="s">
        <v>1330</v>
      </c>
      <c r="H200" s="553">
        <v>1</v>
      </c>
      <c r="I200" s="553">
        <v>40273562000</v>
      </c>
      <c r="J200" s="553" t="s">
        <v>1537</v>
      </c>
      <c r="K200" s="541">
        <v>800000</v>
      </c>
      <c r="L200" s="652">
        <v>800000</v>
      </c>
      <c r="M200" s="642" t="s">
        <v>1657</v>
      </c>
      <c r="N200" s="652">
        <v>800000</v>
      </c>
      <c r="O200" s="574">
        <v>42736</v>
      </c>
      <c r="P200" s="574">
        <v>42887</v>
      </c>
      <c r="Q200" s="553" t="s">
        <v>112</v>
      </c>
      <c r="R200" s="553" t="s">
        <v>115</v>
      </c>
      <c r="S200" s="642" t="s">
        <v>100</v>
      </c>
      <c r="T200" s="642" t="s">
        <v>100</v>
      </c>
      <c r="U200" s="642" t="s">
        <v>100</v>
      </c>
      <c r="V200" s="642" t="s">
        <v>45</v>
      </c>
      <c r="W200" s="642" t="s">
        <v>72</v>
      </c>
      <c r="X200" s="642">
        <v>7705163656</v>
      </c>
      <c r="Y200" s="642" t="s">
        <v>1644</v>
      </c>
      <c r="Z200" s="652">
        <v>800000</v>
      </c>
      <c r="AA200" s="642" t="s">
        <v>1645</v>
      </c>
      <c r="AB200" s="642" t="s">
        <v>266</v>
      </c>
      <c r="AC200" s="642" t="s">
        <v>1657</v>
      </c>
    </row>
    <row r="201" spans="1:29" ht="102" x14ac:dyDescent="0.25">
      <c r="A201" s="588" t="s">
        <v>1855</v>
      </c>
      <c r="B201" s="546" t="s">
        <v>1640</v>
      </c>
      <c r="C201" s="546" t="s">
        <v>1641</v>
      </c>
      <c r="D201" s="553" t="s">
        <v>2051</v>
      </c>
      <c r="E201" s="553" t="s">
        <v>1642</v>
      </c>
      <c r="F201" s="553">
        <v>876</v>
      </c>
      <c r="G201" s="553" t="s">
        <v>1330</v>
      </c>
      <c r="H201" s="553">
        <v>1</v>
      </c>
      <c r="I201" s="553">
        <v>40273562000</v>
      </c>
      <c r="J201" s="553" t="s">
        <v>1537</v>
      </c>
      <c r="K201" s="541">
        <v>3000000</v>
      </c>
      <c r="L201" s="652">
        <v>3000000</v>
      </c>
      <c r="M201" s="642" t="s">
        <v>1657</v>
      </c>
      <c r="N201" s="652">
        <v>3000000</v>
      </c>
      <c r="O201" s="574">
        <v>42736</v>
      </c>
      <c r="P201" s="574">
        <v>42887</v>
      </c>
      <c r="Q201" s="553" t="s">
        <v>112</v>
      </c>
      <c r="R201" s="553" t="s">
        <v>115</v>
      </c>
      <c r="S201" s="642" t="s">
        <v>100</v>
      </c>
      <c r="T201" s="642" t="s">
        <v>100</v>
      </c>
      <c r="U201" s="642" t="s">
        <v>100</v>
      </c>
      <c r="V201" s="642" t="s">
        <v>45</v>
      </c>
      <c r="W201" s="642" t="s">
        <v>72</v>
      </c>
      <c r="X201" s="642">
        <v>7804302727</v>
      </c>
      <c r="Y201" s="642" t="s">
        <v>1646</v>
      </c>
      <c r="Z201" s="652">
        <v>3000000</v>
      </c>
      <c r="AA201" s="642" t="s">
        <v>1645</v>
      </c>
      <c r="AB201" s="642" t="s">
        <v>266</v>
      </c>
      <c r="AC201" s="642" t="s">
        <v>1657</v>
      </c>
    </row>
    <row r="202" spans="1:29" ht="63.75" x14ac:dyDescent="0.25">
      <c r="A202" s="588" t="s">
        <v>1856</v>
      </c>
      <c r="B202" s="546" t="s">
        <v>1640</v>
      </c>
      <c r="C202" s="546" t="s">
        <v>1641</v>
      </c>
      <c r="D202" s="553" t="s">
        <v>2052</v>
      </c>
      <c r="E202" s="553" t="s">
        <v>1642</v>
      </c>
      <c r="F202" s="553">
        <v>876</v>
      </c>
      <c r="G202" s="553" t="s">
        <v>1330</v>
      </c>
      <c r="H202" s="553">
        <v>1</v>
      </c>
      <c r="I202" s="553">
        <v>40273562000</v>
      </c>
      <c r="J202" s="553" t="s">
        <v>1537</v>
      </c>
      <c r="K202" s="661" t="s">
        <v>1658</v>
      </c>
      <c r="L202" s="652">
        <v>1000000</v>
      </c>
      <c r="M202" s="642" t="s">
        <v>1657</v>
      </c>
      <c r="N202" s="652">
        <v>1000000</v>
      </c>
      <c r="O202" s="574">
        <v>42736</v>
      </c>
      <c r="P202" s="574">
        <v>42887</v>
      </c>
      <c r="Q202" s="553" t="s">
        <v>112</v>
      </c>
      <c r="R202" s="553" t="s">
        <v>115</v>
      </c>
      <c r="S202" s="642" t="s">
        <v>100</v>
      </c>
      <c r="T202" s="642" t="s">
        <v>100</v>
      </c>
      <c r="U202" s="642" t="s">
        <v>100</v>
      </c>
      <c r="V202" s="642" t="s">
        <v>45</v>
      </c>
      <c r="W202" s="642" t="s">
        <v>72</v>
      </c>
      <c r="X202" s="642">
        <v>7804541789</v>
      </c>
      <c r="Y202" s="642" t="s">
        <v>1647</v>
      </c>
      <c r="Z202" s="652">
        <v>1000000</v>
      </c>
      <c r="AA202" s="642" t="s">
        <v>1659</v>
      </c>
      <c r="AB202" s="642" t="s">
        <v>266</v>
      </c>
      <c r="AC202" s="642" t="s">
        <v>1657</v>
      </c>
    </row>
    <row r="203" spans="1:29" ht="76.5" x14ac:dyDescent="0.25">
      <c r="A203" s="588" t="s">
        <v>1857</v>
      </c>
      <c r="B203" s="546" t="s">
        <v>1640</v>
      </c>
      <c r="C203" s="546" t="s">
        <v>1641</v>
      </c>
      <c r="D203" s="553" t="s">
        <v>2053</v>
      </c>
      <c r="E203" s="553" t="s">
        <v>1642</v>
      </c>
      <c r="F203" s="553">
        <v>876</v>
      </c>
      <c r="G203" s="553" t="s">
        <v>1330</v>
      </c>
      <c r="H203" s="553">
        <v>1</v>
      </c>
      <c r="I203" s="553">
        <v>40273562000</v>
      </c>
      <c r="J203" s="553" t="s">
        <v>1537</v>
      </c>
      <c r="K203" s="541">
        <v>1500000</v>
      </c>
      <c r="L203" s="652">
        <v>1500000</v>
      </c>
      <c r="M203" s="642" t="s">
        <v>1660</v>
      </c>
      <c r="N203" s="652">
        <v>1500000</v>
      </c>
      <c r="O203" s="574">
        <v>42736</v>
      </c>
      <c r="P203" s="574">
        <v>42979</v>
      </c>
      <c r="Q203" s="553" t="s">
        <v>112</v>
      </c>
      <c r="R203" s="553" t="s">
        <v>115</v>
      </c>
      <c r="S203" s="642" t="s">
        <v>100</v>
      </c>
      <c r="T203" s="642" t="s">
        <v>100</v>
      </c>
      <c r="U203" s="642" t="s">
        <v>100</v>
      </c>
      <c r="V203" s="642" t="s">
        <v>45</v>
      </c>
      <c r="W203" s="642" t="s">
        <v>72</v>
      </c>
      <c r="X203" s="642">
        <v>7804541789</v>
      </c>
      <c r="Y203" s="642" t="s">
        <v>1647</v>
      </c>
      <c r="Z203" s="652">
        <v>1500000</v>
      </c>
      <c r="AA203" s="642" t="s">
        <v>1659</v>
      </c>
      <c r="AB203" s="642" t="s">
        <v>266</v>
      </c>
      <c r="AC203" s="642" t="s">
        <v>1660</v>
      </c>
    </row>
    <row r="204" spans="1:29" ht="76.5" x14ac:dyDescent="0.25">
      <c r="A204" s="588" t="s">
        <v>1858</v>
      </c>
      <c r="B204" s="546" t="s">
        <v>1640</v>
      </c>
      <c r="C204" s="546" t="s">
        <v>1641</v>
      </c>
      <c r="D204" s="553" t="s">
        <v>2054</v>
      </c>
      <c r="E204" s="553" t="s">
        <v>1642</v>
      </c>
      <c r="F204" s="553">
        <v>876</v>
      </c>
      <c r="G204" s="553" t="s">
        <v>1330</v>
      </c>
      <c r="H204" s="553">
        <v>1</v>
      </c>
      <c r="I204" s="553">
        <v>40273562000</v>
      </c>
      <c r="J204" s="553" t="s">
        <v>1537</v>
      </c>
      <c r="K204" s="541">
        <v>1500000</v>
      </c>
      <c r="L204" s="652">
        <v>1500000</v>
      </c>
      <c r="M204" s="642" t="s">
        <v>1660</v>
      </c>
      <c r="N204" s="652">
        <v>1500000</v>
      </c>
      <c r="O204" s="574">
        <v>42736</v>
      </c>
      <c r="P204" s="574">
        <v>42979</v>
      </c>
      <c r="Q204" s="553" t="s">
        <v>112</v>
      </c>
      <c r="R204" s="553" t="s">
        <v>115</v>
      </c>
      <c r="S204" s="642" t="s">
        <v>100</v>
      </c>
      <c r="T204" s="642" t="s">
        <v>100</v>
      </c>
      <c r="U204" s="642" t="s">
        <v>100</v>
      </c>
      <c r="V204" s="642" t="s">
        <v>45</v>
      </c>
      <c r="W204" s="642" t="s">
        <v>72</v>
      </c>
      <c r="X204" s="642">
        <v>7804541789</v>
      </c>
      <c r="Y204" s="642" t="s">
        <v>1647</v>
      </c>
      <c r="Z204" s="652">
        <v>1500000</v>
      </c>
      <c r="AA204" s="642" t="s">
        <v>1659</v>
      </c>
      <c r="AB204" s="642" t="s">
        <v>266</v>
      </c>
      <c r="AC204" s="642" t="s">
        <v>1660</v>
      </c>
    </row>
    <row r="205" spans="1:29" ht="76.5" x14ac:dyDescent="0.25">
      <c r="A205" s="588" t="s">
        <v>1859</v>
      </c>
      <c r="B205" s="546" t="s">
        <v>1640</v>
      </c>
      <c r="C205" s="546" t="s">
        <v>1641</v>
      </c>
      <c r="D205" s="553" t="s">
        <v>2055</v>
      </c>
      <c r="E205" s="553" t="s">
        <v>1642</v>
      </c>
      <c r="F205" s="553">
        <v>876</v>
      </c>
      <c r="G205" s="553" t="s">
        <v>1330</v>
      </c>
      <c r="H205" s="553">
        <v>1</v>
      </c>
      <c r="I205" s="553">
        <v>40273562000</v>
      </c>
      <c r="J205" s="553" t="s">
        <v>1537</v>
      </c>
      <c r="K205" s="541">
        <v>1500000</v>
      </c>
      <c r="L205" s="652">
        <v>1500000</v>
      </c>
      <c r="M205" s="642" t="s">
        <v>1660</v>
      </c>
      <c r="N205" s="652">
        <v>1500000</v>
      </c>
      <c r="O205" s="574">
        <v>42736</v>
      </c>
      <c r="P205" s="574">
        <v>42979</v>
      </c>
      <c r="Q205" s="553" t="s">
        <v>112</v>
      </c>
      <c r="R205" s="553" t="s">
        <v>115</v>
      </c>
      <c r="S205" s="642" t="s">
        <v>100</v>
      </c>
      <c r="T205" s="642" t="s">
        <v>100</v>
      </c>
      <c r="U205" s="642" t="s">
        <v>100</v>
      </c>
      <c r="V205" s="642" t="s">
        <v>45</v>
      </c>
      <c r="W205" s="642" t="s">
        <v>72</v>
      </c>
      <c r="X205" s="642">
        <v>7804541789</v>
      </c>
      <c r="Y205" s="642" t="s">
        <v>1647</v>
      </c>
      <c r="Z205" s="652">
        <v>1500000</v>
      </c>
      <c r="AA205" s="642" t="s">
        <v>1659</v>
      </c>
      <c r="AB205" s="642" t="s">
        <v>266</v>
      </c>
      <c r="AC205" s="642" t="s">
        <v>1660</v>
      </c>
    </row>
    <row r="206" spans="1:29" ht="76.5" x14ac:dyDescent="0.25">
      <c r="A206" s="588" t="s">
        <v>1860</v>
      </c>
      <c r="B206" s="546" t="s">
        <v>1640</v>
      </c>
      <c r="C206" s="546" t="s">
        <v>1641</v>
      </c>
      <c r="D206" s="553" t="s">
        <v>2056</v>
      </c>
      <c r="E206" s="553" t="s">
        <v>1642</v>
      </c>
      <c r="F206" s="553">
        <v>876</v>
      </c>
      <c r="G206" s="553" t="s">
        <v>1330</v>
      </c>
      <c r="H206" s="553">
        <v>1</v>
      </c>
      <c r="I206" s="553">
        <v>40273562000</v>
      </c>
      <c r="J206" s="553" t="s">
        <v>1537</v>
      </c>
      <c r="K206" s="541">
        <v>800000</v>
      </c>
      <c r="L206" s="652">
        <v>800000</v>
      </c>
      <c r="M206" s="642" t="s">
        <v>1660</v>
      </c>
      <c r="N206" s="652">
        <v>800000</v>
      </c>
      <c r="O206" s="574">
        <v>42736</v>
      </c>
      <c r="P206" s="574">
        <v>42979</v>
      </c>
      <c r="Q206" s="553" t="s">
        <v>112</v>
      </c>
      <c r="R206" s="553" t="s">
        <v>115</v>
      </c>
      <c r="S206" s="642" t="s">
        <v>100</v>
      </c>
      <c r="T206" s="642" t="s">
        <v>100</v>
      </c>
      <c r="U206" s="642" t="s">
        <v>100</v>
      </c>
      <c r="V206" s="642" t="s">
        <v>45</v>
      </c>
      <c r="W206" s="642" t="s">
        <v>72</v>
      </c>
      <c r="X206" s="642">
        <v>7804302727</v>
      </c>
      <c r="Y206" s="642" t="s">
        <v>1646</v>
      </c>
      <c r="Z206" s="652">
        <v>800000</v>
      </c>
      <c r="AA206" s="642" t="s">
        <v>1661</v>
      </c>
      <c r="AB206" s="642" t="s">
        <v>266</v>
      </c>
      <c r="AC206" s="642" t="s">
        <v>1660</v>
      </c>
    </row>
    <row r="207" spans="1:29" ht="76.5" x14ac:dyDescent="0.25">
      <c r="A207" s="588" t="s">
        <v>1861</v>
      </c>
      <c r="B207" s="546" t="s">
        <v>1640</v>
      </c>
      <c r="C207" s="546" t="s">
        <v>1641</v>
      </c>
      <c r="D207" s="553" t="s">
        <v>2057</v>
      </c>
      <c r="E207" s="553" t="s">
        <v>1642</v>
      </c>
      <c r="F207" s="553">
        <v>876</v>
      </c>
      <c r="G207" s="553" t="s">
        <v>1330</v>
      </c>
      <c r="H207" s="553">
        <v>1</v>
      </c>
      <c r="I207" s="553">
        <v>40273562000</v>
      </c>
      <c r="J207" s="553" t="s">
        <v>1537</v>
      </c>
      <c r="K207" s="541">
        <v>800000</v>
      </c>
      <c r="L207" s="652">
        <v>800000</v>
      </c>
      <c r="M207" s="642" t="s">
        <v>1660</v>
      </c>
      <c r="N207" s="652">
        <v>800000</v>
      </c>
      <c r="O207" s="574">
        <v>42736</v>
      </c>
      <c r="P207" s="574">
        <v>42979</v>
      </c>
      <c r="Q207" s="553" t="s">
        <v>112</v>
      </c>
      <c r="R207" s="553" t="s">
        <v>115</v>
      </c>
      <c r="S207" s="642" t="s">
        <v>100</v>
      </c>
      <c r="T207" s="642" t="s">
        <v>100</v>
      </c>
      <c r="U207" s="642" t="s">
        <v>100</v>
      </c>
      <c r="V207" s="642" t="s">
        <v>45</v>
      </c>
      <c r="W207" s="642" t="s">
        <v>72</v>
      </c>
      <c r="X207" s="642">
        <v>7804302727</v>
      </c>
      <c r="Y207" s="642" t="s">
        <v>1646</v>
      </c>
      <c r="Z207" s="652">
        <v>800000</v>
      </c>
      <c r="AA207" s="642" t="s">
        <v>1661</v>
      </c>
      <c r="AB207" s="642" t="s">
        <v>266</v>
      </c>
      <c r="AC207" s="642" t="s">
        <v>1660</v>
      </c>
    </row>
    <row r="208" spans="1:29" ht="76.5" x14ac:dyDescent="0.25">
      <c r="A208" s="588" t="s">
        <v>1862</v>
      </c>
      <c r="B208" s="546" t="s">
        <v>1640</v>
      </c>
      <c r="C208" s="546" t="s">
        <v>1641</v>
      </c>
      <c r="D208" s="553" t="s">
        <v>2058</v>
      </c>
      <c r="E208" s="553" t="s">
        <v>1642</v>
      </c>
      <c r="F208" s="553">
        <v>876</v>
      </c>
      <c r="G208" s="553" t="s">
        <v>1330</v>
      </c>
      <c r="H208" s="553">
        <v>1</v>
      </c>
      <c r="I208" s="553">
        <v>40273562000</v>
      </c>
      <c r="J208" s="553" t="s">
        <v>1537</v>
      </c>
      <c r="K208" s="541">
        <v>800000</v>
      </c>
      <c r="L208" s="652">
        <v>800000</v>
      </c>
      <c r="M208" s="642" t="s">
        <v>1660</v>
      </c>
      <c r="N208" s="652">
        <v>800000</v>
      </c>
      <c r="O208" s="574">
        <v>42736</v>
      </c>
      <c r="P208" s="574">
        <v>42979</v>
      </c>
      <c r="Q208" s="553" t="s">
        <v>112</v>
      </c>
      <c r="R208" s="553" t="s">
        <v>115</v>
      </c>
      <c r="S208" s="642" t="s">
        <v>100</v>
      </c>
      <c r="T208" s="642" t="s">
        <v>100</v>
      </c>
      <c r="U208" s="642" t="s">
        <v>100</v>
      </c>
      <c r="V208" s="642" t="s">
        <v>45</v>
      </c>
      <c r="W208" s="642" t="s">
        <v>72</v>
      </c>
      <c r="X208" s="642">
        <v>7804302727</v>
      </c>
      <c r="Y208" s="642" t="s">
        <v>1646</v>
      </c>
      <c r="Z208" s="652">
        <v>800000</v>
      </c>
      <c r="AA208" s="642" t="s">
        <v>1661</v>
      </c>
      <c r="AB208" s="642" t="s">
        <v>266</v>
      </c>
      <c r="AC208" s="642" t="s">
        <v>1660</v>
      </c>
    </row>
    <row r="209" spans="1:29" ht="76.5" x14ac:dyDescent="0.25">
      <c r="A209" s="588" t="s">
        <v>1863</v>
      </c>
      <c r="B209" s="546" t="s">
        <v>1640</v>
      </c>
      <c r="C209" s="546" t="s">
        <v>1641</v>
      </c>
      <c r="D209" s="553" t="s">
        <v>2059</v>
      </c>
      <c r="E209" s="553" t="s">
        <v>1642</v>
      </c>
      <c r="F209" s="553">
        <v>876</v>
      </c>
      <c r="G209" s="553" t="s">
        <v>1330</v>
      </c>
      <c r="H209" s="553">
        <v>1</v>
      </c>
      <c r="I209" s="553">
        <v>40273562000</v>
      </c>
      <c r="J209" s="553" t="s">
        <v>1537</v>
      </c>
      <c r="K209" s="541">
        <v>800000</v>
      </c>
      <c r="L209" s="652">
        <v>800000</v>
      </c>
      <c r="M209" s="642" t="s">
        <v>1660</v>
      </c>
      <c r="N209" s="652">
        <v>800000</v>
      </c>
      <c r="O209" s="574">
        <v>42736</v>
      </c>
      <c r="P209" s="574">
        <v>42979</v>
      </c>
      <c r="Q209" s="553" t="s">
        <v>112</v>
      </c>
      <c r="R209" s="553" t="s">
        <v>115</v>
      </c>
      <c r="S209" s="642" t="s">
        <v>100</v>
      </c>
      <c r="T209" s="642" t="s">
        <v>100</v>
      </c>
      <c r="U209" s="642" t="s">
        <v>100</v>
      </c>
      <c r="V209" s="642" t="s">
        <v>45</v>
      </c>
      <c r="W209" s="642" t="s">
        <v>72</v>
      </c>
      <c r="X209" s="642">
        <v>7705163656</v>
      </c>
      <c r="Y209" s="642" t="s">
        <v>1644</v>
      </c>
      <c r="Z209" s="652">
        <v>800000</v>
      </c>
      <c r="AA209" s="642" t="s">
        <v>1661</v>
      </c>
      <c r="AB209" s="642" t="s">
        <v>266</v>
      </c>
      <c r="AC209" s="642" t="s">
        <v>1660</v>
      </c>
    </row>
    <row r="210" spans="1:29" ht="76.5" x14ac:dyDescent="0.25">
      <c r="A210" s="588" t="s">
        <v>1864</v>
      </c>
      <c r="B210" s="546" t="s">
        <v>1640</v>
      </c>
      <c r="C210" s="546" t="s">
        <v>1641</v>
      </c>
      <c r="D210" s="553" t="s">
        <v>2060</v>
      </c>
      <c r="E210" s="553" t="s">
        <v>1642</v>
      </c>
      <c r="F210" s="553">
        <v>876</v>
      </c>
      <c r="G210" s="553" t="s">
        <v>1330</v>
      </c>
      <c r="H210" s="553">
        <v>1</v>
      </c>
      <c r="I210" s="553">
        <v>40273562000</v>
      </c>
      <c r="J210" s="553" t="s">
        <v>1537</v>
      </c>
      <c r="K210" s="541">
        <v>800000</v>
      </c>
      <c r="L210" s="652">
        <v>800000</v>
      </c>
      <c r="M210" s="642" t="s">
        <v>1660</v>
      </c>
      <c r="N210" s="652">
        <v>800000</v>
      </c>
      <c r="O210" s="574">
        <v>42736</v>
      </c>
      <c r="P210" s="574">
        <v>42979</v>
      </c>
      <c r="Q210" s="553" t="s">
        <v>112</v>
      </c>
      <c r="R210" s="553" t="s">
        <v>115</v>
      </c>
      <c r="S210" s="642" t="s">
        <v>100</v>
      </c>
      <c r="T210" s="642" t="s">
        <v>100</v>
      </c>
      <c r="U210" s="642" t="s">
        <v>100</v>
      </c>
      <c r="V210" s="642" t="s">
        <v>45</v>
      </c>
      <c r="W210" s="642" t="s">
        <v>72</v>
      </c>
      <c r="X210" s="642">
        <v>7705163656</v>
      </c>
      <c r="Y210" s="642" t="s">
        <v>1644</v>
      </c>
      <c r="Z210" s="652">
        <v>800000</v>
      </c>
      <c r="AA210" s="642" t="s">
        <v>1661</v>
      </c>
      <c r="AB210" s="642" t="s">
        <v>266</v>
      </c>
      <c r="AC210" s="642" t="s">
        <v>1660</v>
      </c>
    </row>
    <row r="211" spans="1:29" ht="76.5" x14ac:dyDescent="0.25">
      <c r="A211" s="588" t="s">
        <v>1865</v>
      </c>
      <c r="B211" s="546" t="s">
        <v>1640</v>
      </c>
      <c r="C211" s="546" t="s">
        <v>1641</v>
      </c>
      <c r="D211" s="553" t="s">
        <v>2061</v>
      </c>
      <c r="E211" s="553" t="s">
        <v>1642</v>
      </c>
      <c r="F211" s="553">
        <v>876</v>
      </c>
      <c r="G211" s="553" t="s">
        <v>1330</v>
      </c>
      <c r="H211" s="553">
        <v>1</v>
      </c>
      <c r="I211" s="553">
        <v>40273562000</v>
      </c>
      <c r="J211" s="553" t="s">
        <v>1537</v>
      </c>
      <c r="K211" s="541">
        <v>800000</v>
      </c>
      <c r="L211" s="652">
        <v>800000</v>
      </c>
      <c r="M211" s="642" t="s">
        <v>1660</v>
      </c>
      <c r="N211" s="652">
        <v>800000</v>
      </c>
      <c r="O211" s="574">
        <v>42736</v>
      </c>
      <c r="P211" s="574">
        <v>42979</v>
      </c>
      <c r="Q211" s="553" t="s">
        <v>112</v>
      </c>
      <c r="R211" s="553" t="s">
        <v>115</v>
      </c>
      <c r="S211" s="642" t="s">
        <v>100</v>
      </c>
      <c r="T211" s="642" t="s">
        <v>100</v>
      </c>
      <c r="U211" s="642" t="s">
        <v>100</v>
      </c>
      <c r="V211" s="642" t="s">
        <v>45</v>
      </c>
      <c r="W211" s="642" t="s">
        <v>72</v>
      </c>
      <c r="X211" s="642">
        <v>7705163656</v>
      </c>
      <c r="Y211" s="642" t="s">
        <v>1644</v>
      </c>
      <c r="Z211" s="652">
        <v>800000</v>
      </c>
      <c r="AA211" s="642" t="s">
        <v>1661</v>
      </c>
      <c r="AB211" s="642" t="s">
        <v>266</v>
      </c>
      <c r="AC211" s="642" t="s">
        <v>1660</v>
      </c>
    </row>
    <row r="212" spans="1:29" ht="63.75" x14ac:dyDescent="0.25">
      <c r="A212" s="588" t="s">
        <v>1866</v>
      </c>
      <c r="B212" s="546" t="s">
        <v>1640</v>
      </c>
      <c r="C212" s="546" t="s">
        <v>1641</v>
      </c>
      <c r="D212" s="553" t="s">
        <v>2062</v>
      </c>
      <c r="E212" s="553" t="s">
        <v>1642</v>
      </c>
      <c r="F212" s="553">
        <v>876</v>
      </c>
      <c r="G212" s="553" t="s">
        <v>1330</v>
      </c>
      <c r="H212" s="553">
        <v>1</v>
      </c>
      <c r="I212" s="553">
        <v>40273562000</v>
      </c>
      <c r="J212" s="553" t="s">
        <v>1537</v>
      </c>
      <c r="K212" s="541">
        <v>800000</v>
      </c>
      <c r="L212" s="652">
        <v>800000</v>
      </c>
      <c r="M212" s="642" t="s">
        <v>1662</v>
      </c>
      <c r="N212" s="652">
        <v>800000</v>
      </c>
      <c r="O212" s="574">
        <v>42736</v>
      </c>
      <c r="P212" s="574">
        <v>43344</v>
      </c>
      <c r="Q212" s="553" t="s">
        <v>112</v>
      </c>
      <c r="R212" s="553" t="s">
        <v>115</v>
      </c>
      <c r="S212" s="642" t="s">
        <v>100</v>
      </c>
      <c r="T212" s="642" t="s">
        <v>100</v>
      </c>
      <c r="U212" s="642" t="s">
        <v>100</v>
      </c>
      <c r="V212" s="642" t="s">
        <v>45</v>
      </c>
      <c r="W212" s="642" t="s">
        <v>72</v>
      </c>
      <c r="X212" s="642">
        <v>7705163656</v>
      </c>
      <c r="Y212" s="642" t="s">
        <v>1644</v>
      </c>
      <c r="Z212" s="652">
        <v>800000</v>
      </c>
      <c r="AA212" s="642" t="s">
        <v>1663</v>
      </c>
      <c r="AB212" s="642" t="s">
        <v>266</v>
      </c>
      <c r="AC212" s="642" t="s">
        <v>1662</v>
      </c>
    </row>
    <row r="213" spans="1:29" ht="63.75" x14ac:dyDescent="0.25">
      <c r="A213" s="588" t="s">
        <v>1867</v>
      </c>
      <c r="B213" s="546" t="s">
        <v>1640</v>
      </c>
      <c r="C213" s="546" t="s">
        <v>1641</v>
      </c>
      <c r="D213" s="553" t="s">
        <v>2063</v>
      </c>
      <c r="E213" s="553" t="s">
        <v>1642</v>
      </c>
      <c r="F213" s="553">
        <v>876</v>
      </c>
      <c r="G213" s="553" t="s">
        <v>1330</v>
      </c>
      <c r="H213" s="553">
        <v>1</v>
      </c>
      <c r="I213" s="553">
        <v>40273562000</v>
      </c>
      <c r="J213" s="553" t="s">
        <v>1537</v>
      </c>
      <c r="K213" s="541">
        <v>3000000</v>
      </c>
      <c r="L213" s="652">
        <v>3000000</v>
      </c>
      <c r="M213" s="642" t="s">
        <v>1662</v>
      </c>
      <c r="N213" s="652">
        <v>3000000</v>
      </c>
      <c r="O213" s="574">
        <v>42736</v>
      </c>
      <c r="P213" s="574">
        <v>43344</v>
      </c>
      <c r="Q213" s="553" t="s">
        <v>112</v>
      </c>
      <c r="R213" s="553" t="s">
        <v>115</v>
      </c>
      <c r="S213" s="642" t="s">
        <v>100</v>
      </c>
      <c r="T213" s="642" t="s">
        <v>100</v>
      </c>
      <c r="U213" s="642" t="s">
        <v>100</v>
      </c>
      <c r="V213" s="642" t="s">
        <v>45</v>
      </c>
      <c r="W213" s="642" t="s">
        <v>72</v>
      </c>
      <c r="X213" s="642">
        <v>7804302727</v>
      </c>
      <c r="Y213" s="642" t="s">
        <v>1646</v>
      </c>
      <c r="Z213" s="652">
        <v>3000000</v>
      </c>
      <c r="AA213" s="642" t="s">
        <v>1663</v>
      </c>
      <c r="AB213" s="642" t="s">
        <v>266</v>
      </c>
      <c r="AC213" s="642" t="s">
        <v>1662</v>
      </c>
    </row>
    <row r="214" spans="1:29" ht="102.75" x14ac:dyDescent="0.25">
      <c r="A214" s="588" t="s">
        <v>1868</v>
      </c>
      <c r="B214" s="644" t="s">
        <v>1664</v>
      </c>
      <c r="C214" s="644" t="s">
        <v>1665</v>
      </c>
      <c r="D214" s="570" t="s">
        <v>2064</v>
      </c>
      <c r="E214" s="653" t="s">
        <v>2065</v>
      </c>
      <c r="F214" s="553">
        <v>876</v>
      </c>
      <c r="G214" s="553" t="s">
        <v>1330</v>
      </c>
      <c r="H214" s="553">
        <v>1</v>
      </c>
      <c r="I214" s="553">
        <v>40273562000</v>
      </c>
      <c r="J214" s="553" t="s">
        <v>1537</v>
      </c>
      <c r="K214" s="541">
        <v>360000</v>
      </c>
      <c r="L214" s="645">
        <v>360000</v>
      </c>
      <c r="M214" s="646"/>
      <c r="N214" s="645">
        <v>360000</v>
      </c>
      <c r="O214" s="574">
        <v>42736</v>
      </c>
      <c r="P214" s="574">
        <v>43070</v>
      </c>
      <c r="Q214" s="553" t="s">
        <v>112</v>
      </c>
      <c r="R214" s="553" t="s">
        <v>115</v>
      </c>
      <c r="S214" s="642" t="s">
        <v>100</v>
      </c>
      <c r="T214" s="642" t="s">
        <v>100</v>
      </c>
      <c r="U214" s="642" t="s">
        <v>100</v>
      </c>
      <c r="V214" s="646"/>
      <c r="W214" s="646" t="s">
        <v>78</v>
      </c>
      <c r="X214" s="646">
        <v>7704756043</v>
      </c>
      <c r="Y214" s="644" t="s">
        <v>1667</v>
      </c>
      <c r="Z214" s="645">
        <v>360000</v>
      </c>
      <c r="AA214" s="646" t="s">
        <v>1666</v>
      </c>
      <c r="AB214" s="642" t="s">
        <v>266</v>
      </c>
      <c r="AC214" s="643"/>
    </row>
    <row r="215" spans="1:29" ht="80.099999999999994" customHeight="1" x14ac:dyDescent="0.25">
      <c r="A215" s="588" t="s">
        <v>2084</v>
      </c>
      <c r="B215" s="548" t="s">
        <v>2072</v>
      </c>
      <c r="C215" s="548" t="s">
        <v>2073</v>
      </c>
      <c r="D215" s="570" t="s">
        <v>2089</v>
      </c>
      <c r="E215" s="653" t="s">
        <v>2074</v>
      </c>
      <c r="F215" s="548">
        <v>876</v>
      </c>
      <c r="G215" s="548" t="s">
        <v>1330</v>
      </c>
      <c r="H215" s="548">
        <v>13</v>
      </c>
      <c r="I215" s="548">
        <v>40273562000</v>
      </c>
      <c r="J215" s="548" t="s">
        <v>1338</v>
      </c>
      <c r="K215" s="687">
        <v>153400</v>
      </c>
      <c r="L215" s="688">
        <v>153400</v>
      </c>
      <c r="M215" s="570" t="s">
        <v>2075</v>
      </c>
      <c r="N215" s="688">
        <v>153400</v>
      </c>
      <c r="O215" s="574">
        <v>42736</v>
      </c>
      <c r="P215" s="689">
        <v>42767</v>
      </c>
      <c r="Q215" s="548" t="s">
        <v>110</v>
      </c>
      <c r="R215" s="548" t="s">
        <v>2092</v>
      </c>
      <c r="S215" s="642" t="s">
        <v>100</v>
      </c>
      <c r="T215" s="548" t="s">
        <v>100</v>
      </c>
      <c r="U215" s="548" t="s">
        <v>100</v>
      </c>
      <c r="V215" s="548" t="s">
        <v>60</v>
      </c>
      <c r="W215" s="548" t="s">
        <v>100</v>
      </c>
      <c r="X215" s="548" t="s">
        <v>100</v>
      </c>
      <c r="Y215" s="548" t="s">
        <v>100</v>
      </c>
      <c r="Z215" s="548" t="s">
        <v>100</v>
      </c>
      <c r="AA215" s="570" t="s">
        <v>2076</v>
      </c>
      <c r="AB215" s="570" t="s">
        <v>2077</v>
      </c>
      <c r="AC215" s="548"/>
    </row>
    <row r="216" spans="1:29" ht="80.099999999999994" customHeight="1" x14ac:dyDescent="0.25">
      <c r="A216" s="588" t="s">
        <v>2085</v>
      </c>
      <c r="B216" s="548" t="s">
        <v>2078</v>
      </c>
      <c r="C216" s="548" t="s">
        <v>2079</v>
      </c>
      <c r="D216" s="570" t="s">
        <v>2088</v>
      </c>
      <c r="E216" s="653" t="s">
        <v>2074</v>
      </c>
      <c r="F216" s="548">
        <v>876</v>
      </c>
      <c r="G216" s="548" t="s">
        <v>1330</v>
      </c>
      <c r="H216" s="548">
        <v>8</v>
      </c>
      <c r="I216" s="548">
        <v>40273562000</v>
      </c>
      <c r="J216" s="548" t="s">
        <v>1338</v>
      </c>
      <c r="K216" s="687">
        <v>244300</v>
      </c>
      <c r="L216" s="688">
        <v>244300</v>
      </c>
      <c r="M216" s="570" t="s">
        <v>2075</v>
      </c>
      <c r="N216" s="688">
        <v>244300</v>
      </c>
      <c r="O216" s="574">
        <v>42736</v>
      </c>
      <c r="P216" s="689">
        <v>42767</v>
      </c>
      <c r="Q216" s="548" t="s">
        <v>108</v>
      </c>
      <c r="R216" s="548" t="s">
        <v>115</v>
      </c>
      <c r="S216" s="642" t="s">
        <v>100</v>
      </c>
      <c r="T216" s="548" t="s">
        <v>100</v>
      </c>
      <c r="U216" s="548" t="s">
        <v>100</v>
      </c>
      <c r="V216" s="548" t="s">
        <v>60</v>
      </c>
      <c r="W216" s="548" t="s">
        <v>100</v>
      </c>
      <c r="X216" s="548" t="s">
        <v>100</v>
      </c>
      <c r="Y216" s="548" t="s">
        <v>100</v>
      </c>
      <c r="Z216" s="548" t="s">
        <v>100</v>
      </c>
      <c r="AA216" s="570" t="s">
        <v>2076</v>
      </c>
      <c r="AB216" s="570" t="s">
        <v>2077</v>
      </c>
      <c r="AC216" s="548"/>
    </row>
    <row r="217" spans="1:29" ht="80.099999999999994" customHeight="1" x14ac:dyDescent="0.25">
      <c r="A217" s="588" t="s">
        <v>2086</v>
      </c>
      <c r="B217" s="548" t="s">
        <v>2080</v>
      </c>
      <c r="C217" s="690">
        <v>37558</v>
      </c>
      <c r="D217" s="570" t="s">
        <v>2090</v>
      </c>
      <c r="E217" s="653" t="s">
        <v>2081</v>
      </c>
      <c r="F217" s="548">
        <v>796</v>
      </c>
      <c r="G217" s="548" t="s">
        <v>1601</v>
      </c>
      <c r="H217" s="548">
        <v>1</v>
      </c>
      <c r="I217" s="548">
        <v>40273562000</v>
      </c>
      <c r="J217" s="548" t="s">
        <v>1338</v>
      </c>
      <c r="K217" s="687">
        <v>1000000</v>
      </c>
      <c r="L217" s="688">
        <v>1000000</v>
      </c>
      <c r="M217" s="570" t="s">
        <v>2082</v>
      </c>
      <c r="N217" s="688">
        <v>1000000</v>
      </c>
      <c r="O217" s="689">
        <v>42826</v>
      </c>
      <c r="P217" s="689">
        <v>42887</v>
      </c>
      <c r="Q217" s="548" t="s">
        <v>108</v>
      </c>
      <c r="R217" s="548" t="s">
        <v>114</v>
      </c>
      <c r="S217" s="600" t="s">
        <v>1340</v>
      </c>
      <c r="T217" s="548" t="s">
        <v>100</v>
      </c>
      <c r="U217" s="548" t="s">
        <v>100</v>
      </c>
      <c r="V217" s="548" t="s">
        <v>60</v>
      </c>
      <c r="W217" s="548" t="s">
        <v>100</v>
      </c>
      <c r="X217" s="548" t="s">
        <v>100</v>
      </c>
      <c r="Y217" s="548" t="s">
        <v>100</v>
      </c>
      <c r="Z217" s="548" t="s">
        <v>100</v>
      </c>
      <c r="AA217" s="570" t="s">
        <v>2076</v>
      </c>
      <c r="AB217" s="548" t="s">
        <v>266</v>
      </c>
      <c r="AC217" s="548"/>
    </row>
    <row r="218" spans="1:29" ht="80.099999999999994" customHeight="1" x14ac:dyDescent="0.25">
      <c r="A218" s="588" t="s">
        <v>2087</v>
      </c>
      <c r="B218" s="548" t="s">
        <v>2080</v>
      </c>
      <c r="C218" s="690">
        <v>37558</v>
      </c>
      <c r="D218" s="570" t="s">
        <v>2091</v>
      </c>
      <c r="E218" s="570" t="s">
        <v>2083</v>
      </c>
      <c r="F218" s="548">
        <v>796</v>
      </c>
      <c r="G218" s="548" t="s">
        <v>1601</v>
      </c>
      <c r="H218" s="548">
        <v>1</v>
      </c>
      <c r="I218" s="548">
        <v>40273562000</v>
      </c>
      <c r="J218" s="548" t="s">
        <v>1338</v>
      </c>
      <c r="K218" s="687">
        <v>1400000</v>
      </c>
      <c r="L218" s="688">
        <v>1400000</v>
      </c>
      <c r="M218" s="570" t="s">
        <v>2082</v>
      </c>
      <c r="N218" s="688">
        <v>1400000</v>
      </c>
      <c r="O218" s="689">
        <v>42917</v>
      </c>
      <c r="P218" s="689">
        <v>42979</v>
      </c>
      <c r="Q218" s="548" t="s">
        <v>108</v>
      </c>
      <c r="R218" s="548" t="s">
        <v>114</v>
      </c>
      <c r="S218" s="600" t="s">
        <v>1340</v>
      </c>
      <c r="T218" s="548" t="s">
        <v>100</v>
      </c>
      <c r="U218" s="548" t="s">
        <v>100</v>
      </c>
      <c r="V218" s="548" t="s">
        <v>60</v>
      </c>
      <c r="W218" s="548" t="s">
        <v>100</v>
      </c>
      <c r="X218" s="548" t="s">
        <v>100</v>
      </c>
      <c r="Y218" s="548" t="s">
        <v>100</v>
      </c>
      <c r="Z218" s="548" t="s">
        <v>100</v>
      </c>
      <c r="AA218" s="570" t="s">
        <v>2076</v>
      </c>
      <c r="AB218" s="548" t="s">
        <v>266</v>
      </c>
      <c r="AC218" s="548"/>
    </row>
    <row r="219" spans="1:29" s="695" customFormat="1" ht="128.25" x14ac:dyDescent="0.2">
      <c r="A219" s="588" t="s">
        <v>2100</v>
      </c>
      <c r="B219" s="868" t="s">
        <v>2093</v>
      </c>
      <c r="C219" s="868" t="s">
        <v>2094</v>
      </c>
      <c r="D219" s="869" t="s">
        <v>2101</v>
      </c>
      <c r="E219" s="869" t="s">
        <v>2095</v>
      </c>
      <c r="F219" s="868">
        <v>876</v>
      </c>
      <c r="G219" s="868" t="s">
        <v>1330</v>
      </c>
      <c r="H219" s="868">
        <v>1</v>
      </c>
      <c r="I219" s="868">
        <v>40273562000</v>
      </c>
      <c r="J219" s="868" t="s">
        <v>1338</v>
      </c>
      <c r="K219" s="870">
        <v>736475.53</v>
      </c>
      <c r="L219" s="871">
        <v>736475.53</v>
      </c>
      <c r="M219" s="872" t="s">
        <v>2096</v>
      </c>
      <c r="N219" s="871">
        <v>736475.53</v>
      </c>
      <c r="O219" s="873">
        <v>42736</v>
      </c>
      <c r="P219" s="873">
        <v>43070</v>
      </c>
      <c r="Q219" s="868" t="s">
        <v>112</v>
      </c>
      <c r="R219" s="868" t="s">
        <v>115</v>
      </c>
      <c r="S219" s="868" t="s">
        <v>100</v>
      </c>
      <c r="T219" s="868" t="s">
        <v>100</v>
      </c>
      <c r="U219" s="868" t="s">
        <v>100</v>
      </c>
      <c r="V219" s="868" t="s">
        <v>60</v>
      </c>
      <c r="W219" s="868" t="s">
        <v>2097</v>
      </c>
      <c r="X219" s="868">
        <v>7825352662</v>
      </c>
      <c r="Y219" s="868" t="s">
        <v>2098</v>
      </c>
      <c r="Z219" s="871">
        <v>694007.66</v>
      </c>
      <c r="AA219" s="872" t="s">
        <v>2099</v>
      </c>
      <c r="AB219" s="868" t="s">
        <v>266</v>
      </c>
      <c r="AC219" s="868" t="s">
        <v>2102</v>
      </c>
    </row>
    <row r="220" spans="1:29" ht="99.95" customHeight="1" x14ac:dyDescent="0.25">
      <c r="A220" s="657" t="s">
        <v>2108</v>
      </c>
      <c r="B220" s="868" t="s">
        <v>2103</v>
      </c>
      <c r="C220" s="868" t="s">
        <v>2104</v>
      </c>
      <c r="D220" s="546" t="s">
        <v>2105</v>
      </c>
      <c r="E220" s="546" t="s">
        <v>2106</v>
      </c>
      <c r="F220" s="546">
        <v>876</v>
      </c>
      <c r="G220" s="546" t="s">
        <v>1348</v>
      </c>
      <c r="H220" s="546">
        <v>1</v>
      </c>
      <c r="I220" s="546">
        <v>40273562000</v>
      </c>
      <c r="J220" s="874" t="s">
        <v>1338</v>
      </c>
      <c r="K220" s="875">
        <v>2555606.09</v>
      </c>
      <c r="L220" s="876">
        <v>2555606.09</v>
      </c>
      <c r="M220" s="877" t="s">
        <v>2107</v>
      </c>
      <c r="N220" s="637">
        <v>2555606.09</v>
      </c>
      <c r="O220" s="878">
        <v>42736</v>
      </c>
      <c r="P220" s="878">
        <v>43070</v>
      </c>
      <c r="Q220" s="539" t="s">
        <v>112</v>
      </c>
      <c r="R220" s="553" t="s">
        <v>115</v>
      </c>
      <c r="S220" s="547" t="s">
        <v>100</v>
      </c>
      <c r="T220" s="539" t="s">
        <v>100</v>
      </c>
      <c r="U220" s="539" t="s">
        <v>100</v>
      </c>
      <c r="V220" s="539" t="s">
        <v>60</v>
      </c>
      <c r="W220" s="539" t="s">
        <v>78</v>
      </c>
      <c r="X220" s="539">
        <v>7704867113</v>
      </c>
      <c r="Y220" s="539" t="s">
        <v>1389</v>
      </c>
      <c r="Z220" s="871">
        <v>2555606.09</v>
      </c>
      <c r="AA220" s="546" t="s">
        <v>1377</v>
      </c>
      <c r="AB220" s="578" t="s">
        <v>266</v>
      </c>
      <c r="AC220" s="879"/>
    </row>
    <row r="221" spans="1:29" x14ac:dyDescent="0.25">
      <c r="A221" s="699"/>
      <c r="J221" s="696"/>
      <c r="K221" s="697"/>
      <c r="L221" s="698"/>
      <c r="M221" s="686"/>
    </row>
    <row r="222" spans="1:29" x14ac:dyDescent="0.25">
      <c r="A222" s="699"/>
      <c r="J222" s="696"/>
      <c r="K222" s="697"/>
      <c r="L222" s="698"/>
      <c r="M222" s="686"/>
    </row>
    <row r="223" spans="1:29" x14ac:dyDescent="0.25">
      <c r="J223" s="696"/>
      <c r="K223" s="697"/>
      <c r="L223" s="698"/>
      <c r="M223" s="686"/>
    </row>
    <row r="224" spans="1:29" x14ac:dyDescent="0.25">
      <c r="J224" s="696"/>
      <c r="K224" s="697"/>
      <c r="L224" s="698"/>
    </row>
    <row r="225" spans="10:12" x14ac:dyDescent="0.25">
      <c r="J225" s="696"/>
      <c r="K225" s="697"/>
      <c r="L225" s="698"/>
    </row>
    <row r="226" spans="10:12" x14ac:dyDescent="0.25">
      <c r="J226" s="696"/>
      <c r="K226" s="697"/>
      <c r="L226" s="698"/>
    </row>
    <row r="227" spans="10:12" x14ac:dyDescent="0.25">
      <c r="J227" s="696"/>
      <c r="K227" s="697"/>
      <c r="L227" s="698"/>
    </row>
    <row r="228" spans="10:12" x14ac:dyDescent="0.25">
      <c r="J228" s="696"/>
      <c r="K228" s="696"/>
      <c r="L228" s="698"/>
    </row>
    <row r="229" spans="10:12" x14ac:dyDescent="0.25">
      <c r="J229" s="696"/>
      <c r="K229" s="696"/>
      <c r="L229" s="698"/>
    </row>
  </sheetData>
  <autoFilter ref="K2:K223"/>
  <mergeCells count="33">
    <mergeCell ref="AC12:AC14"/>
    <mergeCell ref="C12:C14"/>
    <mergeCell ref="U12:U13"/>
    <mergeCell ref="W12:Z13"/>
    <mergeCell ref="K13:K14"/>
    <mergeCell ref="T12:T13"/>
    <mergeCell ref="S12:S14"/>
    <mergeCell ref="AB12:AB14"/>
    <mergeCell ref="V12:V14"/>
    <mergeCell ref="AA12:AA14"/>
    <mergeCell ref="A12:A14"/>
    <mergeCell ref="B12:B14"/>
    <mergeCell ref="Q12:Q14"/>
    <mergeCell ref="R12:R13"/>
    <mergeCell ref="D12:P12"/>
    <mergeCell ref="D13:D14"/>
    <mergeCell ref="E13:E14"/>
    <mergeCell ref="F13:G13"/>
    <mergeCell ref="I13:J13"/>
    <mergeCell ref="H13:H14"/>
    <mergeCell ref="L13:L14"/>
    <mergeCell ref="B2:R2"/>
    <mergeCell ref="B3:R3"/>
    <mergeCell ref="M13:M14"/>
    <mergeCell ref="N13:N14"/>
    <mergeCell ref="O13:P13"/>
    <mergeCell ref="B4:C4"/>
    <mergeCell ref="B10:C10"/>
    <mergeCell ref="B5:C5"/>
    <mergeCell ref="B6:C6"/>
    <mergeCell ref="B7:C7"/>
    <mergeCell ref="B8:C8"/>
    <mergeCell ref="B9:C9"/>
  </mergeCells>
  <conditionalFormatting sqref="AB16:AB18">
    <cfRule type="cellIs" dxfId="61" priority="9" operator="equal">
      <formula>0</formula>
    </cfRule>
  </conditionalFormatting>
  <conditionalFormatting sqref="AB19">
    <cfRule type="cellIs" dxfId="60" priority="8" operator="equal">
      <formula>0</formula>
    </cfRule>
  </conditionalFormatting>
  <conditionalFormatting sqref="AB20">
    <cfRule type="cellIs" dxfId="59" priority="7" operator="equal">
      <formula>0</formula>
    </cfRule>
  </conditionalFormatting>
  <conditionalFormatting sqref="AB23:AB25 AB27:AB38 AB40:AB58">
    <cfRule type="cellIs" dxfId="58" priority="6" operator="equal">
      <formula>0</formula>
    </cfRule>
  </conditionalFormatting>
  <conditionalFormatting sqref="AB59">
    <cfRule type="cellIs" dxfId="57" priority="5" operator="equal">
      <formula>0</formula>
    </cfRule>
  </conditionalFormatting>
  <conditionalFormatting sqref="AB148">
    <cfRule type="cellIs" dxfId="56" priority="4" operator="equal">
      <formula>0</formula>
    </cfRule>
  </conditionalFormatting>
  <conditionalFormatting sqref="AB149:AB154">
    <cfRule type="cellIs" dxfId="55" priority="3" operator="equal">
      <formula>0</formula>
    </cfRule>
  </conditionalFormatting>
  <conditionalFormatting sqref="AB160">
    <cfRule type="cellIs" dxfId="54" priority="2" operator="equal">
      <formula>0</formula>
    </cfRule>
  </conditionalFormatting>
  <conditionalFormatting sqref="AB220">
    <cfRule type="cellIs" dxfId="53" priority="1" operator="equal">
      <formula>0</formula>
    </cfRule>
  </conditionalFormatting>
  <dataValidations xWindow="272" yWindow="468" count="24">
    <dataValidation allowBlank="1" showInputMessage="1" showErrorMessage="1" promptTitle="Пример:" prompt="1 234 567,89 Российских рублей_x000a__x000a_2 000 000,00 долларов США_x000a__x000a_3 000 000,30 евро" sqref="K13:K14"/>
    <dataValidation allowBlank="1" showInputMessage="1" showErrorMessage="1" promptTitle="Подсказка:" prompt="Указать не менее 2-х минимальных требований по предмету договора._x000a__x000a_Пример:_x000a_Закупаемая продукция должна соответствовать целевому назначению; быть своевременно предоставлена; соответствовать требованиям безопасности, надежности и экологичности" sqref="E13:E14"/>
    <dataValidation allowBlank="1" showInputMessage="1" showErrorMessage="1" promptTitle="Пример: 17.23.11" prompt="Для поставки бумаги копировальной" sqref="B12:B14"/>
    <dataValidation allowBlank="1" showInputMessage="1" showErrorMessage="1" promptTitle="Подсказка:" prompt="Предмет договора должен полно и четко описывать закупаемую продукцию._x000a__x000a_Примеры:_x000a_0201-00001 Поставка канцелярских товаров_x000a__x000a_0201-00002 Выполнение работ по строительству объекта &quot;...&quot;_x000a__x000a_0201-00003 Оказание услуг по проведению конференции" sqref="D13:D14"/>
    <dataValidation allowBlank="1" showInputMessage="1" showErrorMessage="1" promptTitle="Пример: F 4560234" prompt="Для газоснабжения" sqref="C12:C14"/>
    <dataValidation allowBlank="1" showInputMessage="1" showErrorMessage="1" promptTitle="Пример: 166" prompt="_x000a_*При отсутствии кода и наименования единицы изменения, предусмотренного ОКЕИ в соответствующем поле указать:_x000a__x000a_Не применимо" sqref="F14"/>
    <dataValidation allowBlank="1" showInputMessage="1" showErrorMessage="1" promptTitle="Пример: Килограмм" prompt="_x000a_*При отсутствии кода и наименования единицы изменения, предусмотренного ОКЕИ в соответствующем поле указать:_x000a__x000a_Не применимо" sqref="G14"/>
    <dataValidation allowBlank="1" showInputMessage="1" showErrorMessage="1" promptTitle="Подсказка:" prompt="Указать количество (объем) закупаемой продукции._x000a__x000a_*При указании в поле «Единица измерения» признака «Не применимо», в поле «Сведения о количестве (объеме)» указывается:_x000a__x000a_Не применимо" sqref="H13:H14"/>
    <dataValidation allowBlank="1" showInputMessage="1" showErrorMessage="1" promptTitle="Пример: " prompt="45000000000_x000a_для Москвы_x000a__x000a_70000000000_x000a_для Тульской области" sqref="I14"/>
    <dataValidation allowBlank="1" showInputMessage="1" showErrorMessage="1" promptTitle="Пример:" prompt="Москва_x000a__x000a_Тульская область" sqref="J14"/>
    <dataValidation allowBlank="1" showInputMessage="1" showErrorMessage="1" promptTitle="Подсказка:" prompt="Пересчет на рубли осуществляется по курсу ЦБ РФ, установленному на день формирования НМЦ_x000a__x000a_Сведения о курсе пересчета указываются в столбце &quot;Примечание&quot;" sqref="L13:L14"/>
    <dataValidation allowBlank="1" showInputMessage="1" showErrorMessage="1" promptTitle="Подсказка:" prompt="Способ закупки выбирается из всплывающего списка или заполняется вручную" sqref="Q12:Q14"/>
    <dataValidation allowBlank="1" showInputMessage="1" showErrorMessage="1" promptTitle="Пример:" prompt="Январь 2015" sqref="O14"/>
    <dataValidation allowBlank="1" showInputMessage="1" showErrorMessage="1" promptTitle="Пример:" prompt="Декабрь 2015" sqref="P14"/>
    <dataValidation allowBlank="1" showInputMessage="1" showErrorMessage="1" promptTitle="Подсказка:" prompt="Указать индивидуальный номер закупки (квалификационного отбора для серии закупок), по результатам которой проводится лот._x000a__x000a_Или указать: Не применимо" sqref="T14"/>
    <dataValidation allowBlank="1" showInputMessage="1" showErrorMessage="1" promptTitle="Подсказка:" prompt="Указывается перечень поставщиков, выбранных по результатам квалификационного отбора и/или для закрытых закупок." sqref="U14"/>
    <dataValidation allowBlank="1" showInputMessage="1" showErrorMessage="1" promptTitle="Подсказка:" prompt="Выбрать из выпадающего списка или заполнить вручную._x000a__x000a_Перечень сокращений с расшифровками приведен во вкладке &quot;Справочно&quot;." sqref="V12:V14"/>
    <dataValidation allowBlank="1" showInputMessage="1" showErrorMessage="1" promptTitle="Подсказка:" prompt="Выбрать из выпадающего списка пункт Единого положения, на основании которого проводится закупка у единственного поставщика или указать: Не применимо._x000a__x000a_Перечень пунктов приведен во вкладке &quot;Справочно&quot;." sqref="W14"/>
    <dataValidation allowBlank="1" showInputMessage="1" showErrorMessage="1" promptTitle="Подсказка:" prompt="Выбрать из выпадающего списка или заполнить вручную._x000a__x000a_Перечень организаторов приведен во вкладке &quot;Справочно&quot;." sqref="AB12:AB14"/>
    <dataValidation allowBlank="1" showInputMessage="1" showErrorMessage="1" promptTitle="Пример:" prompt="45000000000 Москва_x000a_70000000000 Тульская область" sqref="I13:J13"/>
    <dataValidation allowBlank="1" showInputMessage="1" showErrorMessage="1" promptTitle="Подсказка:" prompt="В случае, если проведение закупки планируется на официальной Электронной торговой площадке Государственной корпорации «Ростех» и ОАО «АК «Транснефть» (www.etprf.ru)  в данном поле указывается сокращение: etprf" sqref="S12:S14"/>
    <dataValidation allowBlank="1" showInputMessage="1" showErrorMessage="1" errorTitle="Ошибка ввода" error="Необходимо выбрать из выпадающего списка" sqref="T16:U58 S27:S28 S30 W194:Z199 T155:U160 T189:U209 S160 T220:U220"/>
    <dataValidation allowBlank="1" showInputMessage="1" showErrorMessage="1" errorTitle="Ошибка ввода" error="Основание должно быть выбрано из выпадающего списка пунктов Положения о закупках" sqref="X16:X20 X22:X26 X40:X46 X31:X32 X58 X48:X56 X29 X149:X160 X212:X213 X189:X193 X200:X210"/>
    <dataValidation type="date" allowBlank="1" showInputMessage="1" showErrorMessage="1" errorTitle="Ошибка ввода" error="Дата должна быть в формате: &quot;Месяц год&quot;._x000a__x000a_Пример: Январь 2015" sqref="O16:P22 P54:P58 O28:P49 O50:O58 O149:P160 O189:P209">
      <formula1>1</formula1>
      <formula2>2958465</formula2>
    </dataValidation>
  </dataValidations>
  <hyperlinks>
    <hyperlink ref="B7" r:id="rId1"/>
    <hyperlink ref="S162:S167" r:id="rId2" display="http://etprf.ru"/>
    <hyperlink ref="S168:S176" r:id="rId3" display="http://etprf.ru"/>
  </hyperlinks>
  <pageMargins left="0.25" right="0.25" top="0.75" bottom="0.75" header="0.3" footer="0.3"/>
  <pageSetup paperSize="8" fitToWidth="0" orientation="landscape" r:id="rId4"/>
  <extLst>
    <ext xmlns:x14="http://schemas.microsoft.com/office/spreadsheetml/2009/9/main" uri="{CCE6A557-97BC-4b89-ADB6-D9C93CAAB3DF}">
      <x14:dataValidations xmlns:xm="http://schemas.microsoft.com/office/excel/2006/main" xWindow="272" yWindow="468" count="18">
        <x14:dataValidation type="list" allowBlank="1" showInputMessage="1" showErrorMessage="1" errorTitle="Ошибка ввода" error="Необходимо выбрать наименование из выпадающего списка">
          <x14:formula1>
            <xm:f>[1]Справочно!#REF!</xm:f>
          </x14:formula1>
          <xm:sqref>AB16</xm:sqref>
        </x14:dataValidation>
        <x14:dataValidation type="list" allowBlank="1" showInputMessage="1" showErrorMessage="1" errorTitle="Ошибка ввода" error="Необходимо выбрать из выпадающего списка">
          <x14:formula1>
            <xm:f>[1]Справочно!#REF!</xm:f>
          </x14:formula1>
          <xm:sqref>R16</xm:sqref>
        </x14:dataValidation>
        <x14:dataValidation type="list" allowBlank="1" showInputMessage="1" showErrorMessage="1" errorTitle="Ошибка ввода" error="Необходимо выбрать способ закупки из выпадающего списка">
          <x14:formula1>
            <xm:f>[1]Справочно!#REF!</xm:f>
          </x14:formula1>
          <xm:sqref>Q16</xm:sqref>
        </x14:dataValidation>
        <x14:dataValidation type="list" allowBlank="1" showInputMessage="1" showErrorMessage="1" errorTitle="Ошибка ввода" error="Основание должно быть выбрано из выпадающего списка пунктов Положения о закупках">
          <x14:formula1>
            <xm:f>[1]Справочно!#REF!</xm:f>
          </x14:formula1>
          <xm:sqref>W16</xm:sqref>
        </x14:dataValidation>
        <x14:dataValidation type="list" allowBlank="1" showInputMessage="1" showErrorMessage="1">
          <x14:formula1>
            <xm:f>[2]Справочно!#REF!</xm:f>
          </x14:formula1>
          <xm:sqref>W21</xm:sqref>
        </x14:dataValidation>
        <x14:dataValidation type="list" allowBlank="1" showInputMessage="1" showErrorMessage="1" errorTitle="Ошибка ввода" error="Необходимо выбрать из выпадающего списка">
          <x14:formula1>
            <xm:f>[2]Справочно!#REF!</xm:f>
          </x14:formula1>
          <xm:sqref>R21</xm:sqref>
        </x14:dataValidation>
        <x14:dataValidation type="list" allowBlank="1" showInputMessage="1" showErrorMessage="1" errorTitle="Ошибка ввода" error="Необходимо выбрать способ закупки из выпадающего списка">
          <x14:formula1>
            <xm:f>[2]Справочно!#REF!</xm:f>
          </x14:formula1>
          <xm:sqref>Q21</xm:sqref>
        </x14:dataValidation>
        <x14:dataValidation type="list" allowBlank="1" showInputMessage="1" showErrorMessage="1">
          <x14:formula1>
            <xm:f>[1]Справочно!#REF!</xm:f>
          </x14:formula1>
          <xm:sqref>W22</xm:sqref>
        </x14:dataValidation>
        <x14:dataValidation type="list" allowBlank="1" showInputMessage="1" showErrorMessage="1" errorTitle="Ошибка ввода" error="Необходимо выбрать из выпадающего списка">
          <x14:formula1>
            <xm:f>[1]Справочно!#REF!</xm:f>
          </x14:formula1>
          <xm:sqref>R22</xm:sqref>
        </x14:dataValidation>
        <x14:dataValidation type="list" allowBlank="1" showInputMessage="1" showErrorMessage="1" errorTitle="Ошибка ввода" error="Необходимо выбрать способ закупки из выпадающего списка">
          <x14:formula1>
            <xm:f>[1]Справочно!#REF!</xm:f>
          </x14:formula1>
          <xm:sqref>Q22</xm:sqref>
        </x14:dataValidation>
        <x14:dataValidation type="list" allowBlank="1" showInputMessage="1" showErrorMessage="1">
          <x14:formula1>
            <xm:f>[1]Справочно!#REF!</xm:f>
          </x14:formula1>
          <xm:sqref>W23:W58</xm:sqref>
        </x14:dataValidation>
        <x14:dataValidation type="list" allowBlank="1" showInputMessage="1" showErrorMessage="1" errorTitle="Ошибка ввода" error="Необходимо выбрать из выпадающего списка">
          <x14:formula1>
            <xm:f>[1]Справочно!#REF!</xm:f>
          </x14:formula1>
          <xm:sqref>R58 R40:R46 R48:R56 R23:R26 R29 R31:R32</xm:sqref>
        </x14:dataValidation>
        <x14:dataValidation type="list" allowBlank="1" showInputMessage="1" showErrorMessage="1" errorTitle="Ошибка ввода" error="Необходимо выбрать способ закупки из выпадающего списка">
          <x14:formula1>
            <xm:f>[1]Справочно!#REF!</xm:f>
          </x14:formula1>
          <xm:sqref>Q23:Q44 Q47:Q52 Q54:Q55</xm:sqref>
        </x14:dataValidation>
        <x14:dataValidation type="list" allowBlank="1" showInputMessage="1" showErrorMessage="1">
          <x14:formula1>
            <xm:f>[1]Справочно!#REF!</xm:f>
          </x14:formula1>
          <xm:sqref>AB23:AB25 AB27:AB38 AB40:AB58</xm:sqref>
        </x14:dataValidation>
        <x14:dataValidation type="list" allowBlank="1" showInputMessage="1" showErrorMessage="1">
          <x14:formula1>
            <xm:f>[1]Справочно!#REF!</xm:f>
          </x14:formula1>
          <xm:sqref>W149:W154</xm:sqref>
        </x14:dataValidation>
        <x14:dataValidation type="list" allowBlank="1" showInputMessage="1" showErrorMessage="1" errorTitle="Ошибка ввода" error="Необходимо выбрать из выпадающего списка">
          <x14:formula1>
            <xm:f>[1]Справочно!#REF!</xm:f>
          </x14:formula1>
          <xm:sqref>R149:R154</xm:sqref>
        </x14:dataValidation>
        <x14:dataValidation type="list" allowBlank="1" showInputMessage="1" showErrorMessage="1" errorTitle="Ошибка ввода" error="Необходимо выбрать способ закупки из выпадающего списка">
          <x14:formula1>
            <xm:f>[1]Справочно!#REF!</xm:f>
          </x14:formula1>
          <xm:sqref>Q149:Q153</xm:sqref>
        </x14:dataValidation>
        <x14:dataValidation type="list" allowBlank="1" showInputMessage="1" showErrorMessage="1">
          <x14:formula1>
            <xm:f>[1]Справочно!#REF!</xm:f>
          </x14:formula1>
          <xm:sqref>AB149:AB154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5"/>
  <sheetViews>
    <sheetView topLeftCell="N1" workbookViewId="0">
      <selection activeCell="W16" sqref="W16"/>
    </sheetView>
  </sheetViews>
  <sheetFormatPr defaultRowHeight="15" x14ac:dyDescent="0.25"/>
  <cols>
    <col min="1" max="1" width="18.5703125" customWidth="1"/>
    <col min="2" max="3" width="11.42578125" customWidth="1"/>
    <col min="4" max="4" width="26" customWidth="1"/>
    <col min="5" max="5" width="21.140625" customWidth="1"/>
    <col min="6" max="6" width="11.42578125" customWidth="1"/>
    <col min="7" max="7" width="13.7109375" customWidth="1"/>
    <col min="8" max="9" width="11.42578125" customWidth="1"/>
    <col min="10" max="10" width="13.5703125" customWidth="1"/>
    <col min="11" max="11" width="20" customWidth="1"/>
    <col min="12" max="12" width="23.140625" customWidth="1"/>
    <col min="13" max="13" width="15.140625" customWidth="1"/>
    <col min="14" max="14" width="16" customWidth="1"/>
    <col min="15" max="15" width="22" customWidth="1"/>
    <col min="16" max="18" width="12.42578125" customWidth="1"/>
    <col min="19" max="19" width="13.85546875" customWidth="1"/>
    <col min="20" max="20" width="22.5703125" customWidth="1"/>
    <col min="21" max="21" width="21.7109375" customWidth="1"/>
    <col min="22" max="22" width="12.42578125" customWidth="1"/>
    <col min="23" max="24" width="14.7109375" customWidth="1"/>
    <col min="25" max="27" width="13.85546875" customWidth="1"/>
    <col min="28" max="28" width="32.7109375" bestFit="1" customWidth="1"/>
    <col min="29" max="29" width="17.7109375" customWidth="1"/>
  </cols>
  <sheetData>
    <row r="2" spans="1:29" ht="15" customHeight="1" x14ac:dyDescent="0.25">
      <c r="A2" s="14"/>
      <c r="B2" s="700" t="s">
        <v>728</v>
      </c>
      <c r="C2" s="700"/>
      <c r="D2" s="700"/>
      <c r="E2" s="700"/>
      <c r="F2" s="700"/>
      <c r="G2" s="700"/>
      <c r="H2" s="700"/>
      <c r="I2" s="700"/>
      <c r="J2" s="700"/>
      <c r="K2" s="700"/>
      <c r="L2" s="700"/>
      <c r="M2" s="700"/>
      <c r="N2" s="700"/>
      <c r="O2" s="700"/>
      <c r="P2" s="700"/>
      <c r="Q2" s="700"/>
      <c r="R2" s="700"/>
      <c r="S2" s="14"/>
      <c r="T2" s="163"/>
      <c r="U2" s="163"/>
      <c r="V2" s="14"/>
      <c r="W2" s="14"/>
      <c r="X2" s="14"/>
      <c r="Y2" s="14"/>
      <c r="Z2" s="14"/>
      <c r="AA2" s="14"/>
      <c r="AB2" s="14"/>
      <c r="AC2" s="14"/>
    </row>
    <row r="3" spans="1:29" ht="15.75" customHeight="1" thickBot="1" x14ac:dyDescent="0.3">
      <c r="A3" s="14"/>
      <c r="B3" s="700" t="s">
        <v>0</v>
      </c>
      <c r="C3" s="700"/>
      <c r="D3" s="700"/>
      <c r="E3" s="700"/>
      <c r="F3" s="700"/>
      <c r="G3" s="700"/>
      <c r="H3" s="700"/>
      <c r="I3" s="700"/>
      <c r="J3" s="700"/>
      <c r="K3" s="700"/>
      <c r="L3" s="700"/>
      <c r="M3" s="700"/>
      <c r="N3" s="700"/>
      <c r="O3" s="700"/>
      <c r="P3" s="700"/>
      <c r="Q3" s="700"/>
      <c r="R3" s="700"/>
      <c r="S3" s="14"/>
      <c r="T3" s="163"/>
      <c r="U3" s="163"/>
      <c r="V3" s="14"/>
      <c r="W3" s="14"/>
      <c r="X3" s="14"/>
      <c r="Y3" s="14"/>
      <c r="Z3" s="14"/>
      <c r="AA3" s="14"/>
      <c r="AB3" s="14"/>
      <c r="AC3" s="14"/>
    </row>
    <row r="4" spans="1:29" ht="27.75" customHeight="1" x14ac:dyDescent="0.25">
      <c r="A4" s="6" t="s">
        <v>1</v>
      </c>
      <c r="B4" s="731"/>
      <c r="C4" s="732"/>
    </row>
    <row r="5" spans="1:29" ht="38.25" x14ac:dyDescent="0.25">
      <c r="A5" s="7" t="s">
        <v>2</v>
      </c>
      <c r="B5" s="729"/>
      <c r="C5" s="730"/>
    </row>
    <row r="6" spans="1:29" ht="15" customHeight="1" x14ac:dyDescent="0.25">
      <c r="A6" s="7" t="s">
        <v>3</v>
      </c>
      <c r="B6" s="729"/>
      <c r="C6" s="730"/>
    </row>
    <row r="7" spans="1:29" ht="25.5" x14ac:dyDescent="0.25">
      <c r="A7" s="7" t="s">
        <v>4</v>
      </c>
      <c r="B7" s="729"/>
      <c r="C7" s="730"/>
    </row>
    <row r="8" spans="1:29" x14ac:dyDescent="0.25">
      <c r="A8" s="7" t="s">
        <v>5</v>
      </c>
      <c r="B8" s="729"/>
      <c r="C8" s="730"/>
    </row>
    <row r="9" spans="1:29" x14ac:dyDescent="0.25">
      <c r="A9" s="7" t="s">
        <v>6</v>
      </c>
      <c r="B9" s="729"/>
      <c r="C9" s="730"/>
    </row>
    <row r="10" spans="1:29" ht="15.75" thickBot="1" x14ac:dyDescent="0.3">
      <c r="A10" s="8" t="s">
        <v>7</v>
      </c>
      <c r="B10" s="733"/>
      <c r="C10" s="734"/>
    </row>
    <row r="11" spans="1:29" ht="15.75" thickBot="1" x14ac:dyDescent="0.3"/>
    <row r="12" spans="1:29" ht="15.75" customHeight="1" thickBot="1" x14ac:dyDescent="0.3">
      <c r="A12" s="735" t="s">
        <v>216</v>
      </c>
      <c r="B12" s="717" t="s">
        <v>748</v>
      </c>
      <c r="C12" s="717" t="s">
        <v>747</v>
      </c>
      <c r="D12" s="706" t="s">
        <v>8</v>
      </c>
      <c r="E12" s="720"/>
      <c r="F12" s="720"/>
      <c r="G12" s="720"/>
      <c r="H12" s="720"/>
      <c r="I12" s="720"/>
      <c r="J12" s="720"/>
      <c r="K12" s="720"/>
      <c r="L12" s="720"/>
      <c r="M12" s="720"/>
      <c r="N12" s="720"/>
      <c r="O12" s="720"/>
      <c r="P12" s="707"/>
      <c r="Q12" s="717" t="s">
        <v>9</v>
      </c>
      <c r="R12" s="717" t="s">
        <v>10</v>
      </c>
      <c r="S12" s="735" t="s">
        <v>11</v>
      </c>
      <c r="T12" s="735" t="s">
        <v>265</v>
      </c>
      <c r="U12" s="735" t="s">
        <v>158</v>
      </c>
      <c r="V12" s="738" t="s">
        <v>12</v>
      </c>
      <c r="W12" s="740" t="s">
        <v>111</v>
      </c>
      <c r="X12" s="741"/>
      <c r="Y12" s="741"/>
      <c r="Z12" s="741"/>
      <c r="AA12" s="735" t="s">
        <v>14</v>
      </c>
      <c r="AB12" s="735" t="s">
        <v>266</v>
      </c>
      <c r="AC12" s="735" t="s">
        <v>215</v>
      </c>
    </row>
    <row r="13" spans="1:29" ht="41.25" customHeight="1" thickBot="1" x14ac:dyDescent="0.3">
      <c r="A13" s="736"/>
      <c r="B13" s="718"/>
      <c r="C13" s="718"/>
      <c r="D13" s="717" t="s">
        <v>15</v>
      </c>
      <c r="E13" s="717" t="s">
        <v>16</v>
      </c>
      <c r="F13" s="706" t="s">
        <v>17</v>
      </c>
      <c r="G13" s="707"/>
      <c r="H13" s="717" t="s">
        <v>18</v>
      </c>
      <c r="I13" s="706" t="s">
        <v>19</v>
      </c>
      <c r="J13" s="707"/>
      <c r="K13" s="717" t="s">
        <v>32</v>
      </c>
      <c r="L13" s="735" t="s">
        <v>324</v>
      </c>
      <c r="M13" s="735" t="s">
        <v>20</v>
      </c>
      <c r="N13" s="735" t="s">
        <v>323</v>
      </c>
      <c r="O13" s="706" t="s">
        <v>21</v>
      </c>
      <c r="P13" s="707"/>
      <c r="Q13" s="718"/>
      <c r="R13" s="719"/>
      <c r="S13" s="736"/>
      <c r="T13" s="737"/>
      <c r="U13" s="737"/>
      <c r="V13" s="739"/>
      <c r="W13" s="742"/>
      <c r="X13" s="743"/>
      <c r="Y13" s="743"/>
      <c r="Z13" s="743"/>
      <c r="AA13" s="736"/>
      <c r="AB13" s="736"/>
      <c r="AC13" s="736"/>
    </row>
    <row r="14" spans="1:29" ht="77.25" thickBot="1" x14ac:dyDescent="0.3">
      <c r="A14" s="736"/>
      <c r="B14" s="718"/>
      <c r="C14" s="718"/>
      <c r="D14" s="718"/>
      <c r="E14" s="718"/>
      <c r="F14" s="10" t="s">
        <v>161</v>
      </c>
      <c r="G14" s="10" t="s">
        <v>22</v>
      </c>
      <c r="H14" s="718"/>
      <c r="I14" s="10" t="s">
        <v>23</v>
      </c>
      <c r="J14" s="10" t="s">
        <v>22</v>
      </c>
      <c r="K14" s="718"/>
      <c r="L14" s="736"/>
      <c r="M14" s="736"/>
      <c r="N14" s="736"/>
      <c r="O14" s="10" t="s">
        <v>65</v>
      </c>
      <c r="P14" s="10" t="s">
        <v>24</v>
      </c>
      <c r="Q14" s="718"/>
      <c r="R14" s="10" t="s">
        <v>25</v>
      </c>
      <c r="S14" s="736"/>
      <c r="T14" s="162" t="s">
        <v>213</v>
      </c>
      <c r="U14" s="162" t="s">
        <v>231</v>
      </c>
      <c r="V14" s="739"/>
      <c r="W14" s="161" t="s">
        <v>13</v>
      </c>
      <c r="X14" s="161" t="s">
        <v>209</v>
      </c>
      <c r="Y14" s="161" t="s">
        <v>208</v>
      </c>
      <c r="Z14" s="162" t="s">
        <v>26</v>
      </c>
      <c r="AA14" s="736"/>
      <c r="AB14" s="736"/>
      <c r="AC14" s="736"/>
    </row>
    <row r="15" spans="1:29" ht="15.75" thickBot="1" x14ac:dyDescent="0.3">
      <c r="A15" s="11" t="s">
        <v>121</v>
      </c>
      <c r="B15" s="12" t="s">
        <v>122</v>
      </c>
      <c r="C15" s="12" t="s">
        <v>123</v>
      </c>
      <c r="D15" s="12" t="s">
        <v>124</v>
      </c>
      <c r="E15" s="12" t="s">
        <v>125</v>
      </c>
      <c r="F15" s="12" t="s">
        <v>126</v>
      </c>
      <c r="G15" s="12" t="s">
        <v>127</v>
      </c>
      <c r="H15" s="12" t="s">
        <v>128</v>
      </c>
      <c r="I15" s="12" t="s">
        <v>129</v>
      </c>
      <c r="J15" s="12" t="s">
        <v>130</v>
      </c>
      <c r="K15" s="12" t="s">
        <v>131</v>
      </c>
      <c r="L15" s="11" t="s">
        <v>27</v>
      </c>
      <c r="M15" s="11" t="s">
        <v>28</v>
      </c>
      <c r="N15" s="11" t="s">
        <v>167</v>
      </c>
      <c r="O15" s="12" t="s">
        <v>132</v>
      </c>
      <c r="P15" s="12" t="s">
        <v>133</v>
      </c>
      <c r="Q15" s="12" t="s">
        <v>134</v>
      </c>
      <c r="R15" s="12" t="s">
        <v>135</v>
      </c>
      <c r="S15" s="13" t="s">
        <v>143</v>
      </c>
      <c r="T15" s="11" t="s">
        <v>325</v>
      </c>
      <c r="U15" s="11" t="s">
        <v>144</v>
      </c>
      <c r="V15" s="25" t="s">
        <v>145</v>
      </c>
      <c r="W15" s="13" t="s">
        <v>326</v>
      </c>
      <c r="X15" s="13" t="s">
        <v>327</v>
      </c>
      <c r="Y15" s="13" t="s">
        <v>328</v>
      </c>
      <c r="Z15" s="13" t="s">
        <v>146</v>
      </c>
      <c r="AA15" s="13" t="s">
        <v>147</v>
      </c>
      <c r="AB15" s="13" t="s">
        <v>148</v>
      </c>
      <c r="AC15" s="13" t="s">
        <v>159</v>
      </c>
    </row>
    <row r="16" spans="1:29" ht="15" customHeight="1" thickBot="1" x14ac:dyDescent="0.3">
      <c r="A16" s="108"/>
      <c r="B16" s="26"/>
      <c r="C16" s="26"/>
      <c r="D16" s="27"/>
      <c r="E16" s="27"/>
      <c r="F16" s="26"/>
      <c r="G16" s="27"/>
      <c r="H16" s="26"/>
      <c r="I16" s="26"/>
      <c r="J16" s="26"/>
      <c r="K16" s="119"/>
      <c r="L16" s="118"/>
      <c r="M16" s="28"/>
      <c r="N16" s="118"/>
      <c r="O16" s="29"/>
      <c r="P16" s="26"/>
      <c r="Q16" s="30"/>
      <c r="R16" s="30"/>
      <c r="S16" s="28"/>
      <c r="T16" s="31"/>
      <c r="U16" s="32"/>
      <c r="V16" s="33"/>
      <c r="W16" s="31"/>
      <c r="X16" s="28"/>
      <c r="Y16" s="28"/>
      <c r="Z16" s="28"/>
      <c r="AA16" s="28"/>
      <c r="AB16" s="122"/>
      <c r="AC16" s="34"/>
    </row>
    <row r="17" spans="1:29" ht="15" customHeight="1" thickBot="1" x14ac:dyDescent="0.3">
      <c r="A17" s="108"/>
      <c r="B17" s="26"/>
      <c r="C17" s="26"/>
      <c r="D17" s="27"/>
      <c r="E17" s="27"/>
      <c r="F17" s="26"/>
      <c r="G17" s="27"/>
      <c r="H17" s="26"/>
      <c r="I17" s="26"/>
      <c r="J17" s="26"/>
      <c r="K17" s="119"/>
      <c r="L17" s="118"/>
      <c r="M17" s="28"/>
      <c r="N17" s="118"/>
      <c r="O17" s="29"/>
      <c r="P17" s="26"/>
      <c r="Q17" s="30"/>
      <c r="R17" s="30"/>
      <c r="S17" s="28"/>
      <c r="T17" s="31"/>
      <c r="U17" s="32"/>
      <c r="V17" s="33"/>
      <c r="W17" s="31"/>
      <c r="X17" s="28"/>
      <c r="Y17" s="28"/>
      <c r="Z17" s="28"/>
      <c r="AA17" s="28"/>
      <c r="AB17" s="122"/>
      <c r="AC17" s="34"/>
    </row>
    <row r="18" spans="1:29" ht="15" customHeight="1" thickBot="1" x14ac:dyDescent="0.3">
      <c r="A18" s="108"/>
      <c r="B18" s="26"/>
      <c r="C18" s="26"/>
      <c r="D18" s="27"/>
      <c r="E18" s="27"/>
      <c r="F18" s="26"/>
      <c r="G18" s="27"/>
      <c r="H18" s="26"/>
      <c r="I18" s="26"/>
      <c r="J18" s="26"/>
      <c r="K18" s="119"/>
      <c r="L18" s="118"/>
      <c r="M18" s="28"/>
      <c r="N18" s="118"/>
      <c r="O18" s="29"/>
      <c r="P18" s="26"/>
      <c r="Q18" s="30"/>
      <c r="R18" s="30"/>
      <c r="S18" s="28"/>
      <c r="T18" s="31"/>
      <c r="U18" s="32"/>
      <c r="V18" s="33"/>
      <c r="W18" s="31"/>
      <c r="X18" s="28"/>
      <c r="Y18" s="28"/>
      <c r="Z18" s="28"/>
      <c r="AA18" s="28"/>
      <c r="AB18" s="122"/>
      <c r="AC18" s="34"/>
    </row>
    <row r="19" spans="1:29" ht="15" customHeight="1" thickBot="1" x14ac:dyDescent="0.3">
      <c r="A19" s="108"/>
      <c r="B19" s="26"/>
      <c r="C19" s="26"/>
      <c r="D19" s="27"/>
      <c r="E19" s="27"/>
      <c r="F19" s="26"/>
      <c r="G19" s="27"/>
      <c r="H19" s="26"/>
      <c r="I19" s="26"/>
      <c r="J19" s="26"/>
      <c r="K19" s="119"/>
      <c r="L19" s="118"/>
      <c r="M19" s="28"/>
      <c r="N19" s="118"/>
      <c r="O19" s="29"/>
      <c r="P19" s="26"/>
      <c r="Q19" s="30"/>
      <c r="R19" s="30"/>
      <c r="S19" s="28"/>
      <c r="T19" s="31"/>
      <c r="U19" s="32"/>
      <c r="V19" s="33"/>
      <c r="W19" s="31"/>
      <c r="X19" s="28"/>
      <c r="Y19" s="28"/>
      <c r="Z19" s="28"/>
      <c r="AA19" s="28"/>
      <c r="AB19" s="122"/>
      <c r="AC19" s="34"/>
    </row>
    <row r="20" spans="1:29" ht="15" customHeight="1" thickBot="1" x14ac:dyDescent="0.3">
      <c r="A20" s="108"/>
      <c r="B20" s="26"/>
      <c r="C20" s="26"/>
      <c r="D20" s="27"/>
      <c r="E20" s="27"/>
      <c r="F20" s="26"/>
      <c r="G20" s="27"/>
      <c r="H20" s="26"/>
      <c r="I20" s="26"/>
      <c r="J20" s="26"/>
      <c r="K20" s="119"/>
      <c r="L20" s="118"/>
      <c r="M20" s="28"/>
      <c r="N20" s="118"/>
      <c r="O20" s="29"/>
      <c r="P20" s="26"/>
      <c r="Q20" s="30"/>
      <c r="R20" s="30"/>
      <c r="S20" s="28"/>
      <c r="T20" s="31"/>
      <c r="U20" s="32"/>
      <c r="V20" s="33"/>
      <c r="W20" s="31"/>
      <c r="X20" s="28"/>
      <c r="Y20" s="28"/>
      <c r="Z20" s="28"/>
      <c r="AA20" s="28"/>
      <c r="AB20" s="122"/>
      <c r="AC20" s="34"/>
    </row>
    <row r="21" spans="1:29" ht="15" customHeight="1" thickBot="1" x14ac:dyDescent="0.3">
      <c r="A21" s="108"/>
      <c r="B21" s="26"/>
      <c r="C21" s="26"/>
      <c r="D21" s="27"/>
      <c r="E21" s="27"/>
      <c r="F21" s="26"/>
      <c r="G21" s="27"/>
      <c r="H21" s="26"/>
      <c r="I21" s="26"/>
      <c r="J21" s="26"/>
      <c r="K21" s="119"/>
      <c r="L21" s="118"/>
      <c r="M21" s="28"/>
      <c r="N21" s="118"/>
      <c r="O21" s="29"/>
      <c r="P21" s="26"/>
      <c r="Q21" s="30"/>
      <c r="R21" s="30"/>
      <c r="S21" s="28"/>
      <c r="T21" s="31"/>
      <c r="U21" s="32"/>
      <c r="V21" s="33"/>
      <c r="W21" s="31"/>
      <c r="X21" s="28"/>
      <c r="Y21" s="28"/>
      <c r="Z21" s="28"/>
      <c r="AA21" s="28"/>
      <c r="AB21" s="122"/>
      <c r="AC21" s="34"/>
    </row>
    <row r="22" spans="1:29" ht="15" customHeight="1" thickBot="1" x14ac:dyDescent="0.3">
      <c r="A22" s="108"/>
      <c r="B22" s="26"/>
      <c r="C22" s="26"/>
      <c r="D22" s="27"/>
      <c r="E22" s="27"/>
      <c r="F22" s="26"/>
      <c r="G22" s="27"/>
      <c r="H22" s="26"/>
      <c r="I22" s="26"/>
      <c r="J22" s="26"/>
      <c r="K22" s="119"/>
      <c r="L22" s="118"/>
      <c r="M22" s="28"/>
      <c r="N22" s="118"/>
      <c r="O22" s="29"/>
      <c r="P22" s="26"/>
      <c r="Q22" s="30"/>
      <c r="R22" s="30"/>
      <c r="S22" s="28"/>
      <c r="T22" s="31"/>
      <c r="U22" s="32"/>
      <c r="V22" s="33"/>
      <c r="W22" s="31"/>
      <c r="X22" s="28"/>
      <c r="Y22" s="28"/>
      <c r="Z22" s="28"/>
      <c r="AA22" s="28"/>
      <c r="AB22" s="122"/>
      <c r="AC22" s="34"/>
    </row>
    <row r="23" spans="1:29" ht="15" customHeight="1" thickBot="1" x14ac:dyDescent="0.3">
      <c r="A23" s="108"/>
      <c r="B23" s="26"/>
      <c r="C23" s="26"/>
      <c r="D23" s="27"/>
      <c r="E23" s="27"/>
      <c r="F23" s="26"/>
      <c r="G23" s="27"/>
      <c r="H23" s="26"/>
      <c r="I23" s="26"/>
      <c r="J23" s="26"/>
      <c r="K23" s="119"/>
      <c r="L23" s="118"/>
      <c r="M23" s="28"/>
      <c r="N23" s="118"/>
      <c r="O23" s="29"/>
      <c r="P23" s="26"/>
      <c r="Q23" s="30"/>
      <c r="R23" s="30"/>
      <c r="S23" s="28"/>
      <c r="T23" s="31"/>
      <c r="U23" s="32"/>
      <c r="V23" s="33"/>
      <c r="W23" s="31"/>
      <c r="X23" s="28"/>
      <c r="Y23" s="28"/>
      <c r="Z23" s="28"/>
      <c r="AA23" s="28"/>
      <c r="AB23" s="122"/>
      <c r="AC23" s="34"/>
    </row>
    <row r="24" spans="1:29" ht="15" customHeight="1" thickBot="1" x14ac:dyDescent="0.3">
      <c r="A24" s="108"/>
      <c r="B24" s="26"/>
      <c r="C24" s="26"/>
      <c r="D24" s="27"/>
      <c r="E24" s="27"/>
      <c r="F24" s="26"/>
      <c r="G24" s="27"/>
      <c r="H24" s="26"/>
      <c r="I24" s="26"/>
      <c r="J24" s="26"/>
      <c r="K24" s="119"/>
      <c r="L24" s="118"/>
      <c r="M24" s="28"/>
      <c r="N24" s="118"/>
      <c r="O24" s="29"/>
      <c r="P24" s="26"/>
      <c r="Q24" s="30"/>
      <c r="R24" s="30"/>
      <c r="S24" s="28"/>
      <c r="T24" s="31"/>
      <c r="U24" s="32"/>
      <c r="V24" s="33"/>
      <c r="W24" s="31"/>
      <c r="X24" s="28"/>
      <c r="Y24" s="28"/>
      <c r="Z24" s="28"/>
      <c r="AA24" s="28"/>
      <c r="AB24" s="122"/>
      <c r="AC24" s="34"/>
    </row>
    <row r="25" spans="1:29" ht="15" customHeight="1" thickBot="1" x14ac:dyDescent="0.3">
      <c r="A25" s="108"/>
      <c r="B25" s="26"/>
      <c r="C25" s="26"/>
      <c r="D25" s="27"/>
      <c r="E25" s="27"/>
      <c r="F25" s="26"/>
      <c r="G25" s="27"/>
      <c r="H25" s="26"/>
      <c r="I25" s="26"/>
      <c r="J25" s="26"/>
      <c r="K25" s="119"/>
      <c r="L25" s="118"/>
      <c r="M25" s="28"/>
      <c r="N25" s="118"/>
      <c r="O25" s="29"/>
      <c r="P25" s="26"/>
      <c r="Q25" s="30"/>
      <c r="R25" s="30"/>
      <c r="S25" s="28"/>
      <c r="T25" s="31"/>
      <c r="U25" s="32"/>
      <c r="V25" s="33"/>
      <c r="W25" s="31"/>
      <c r="X25" s="28"/>
      <c r="Y25" s="28"/>
      <c r="Z25" s="28"/>
      <c r="AA25" s="28"/>
      <c r="AB25" s="122"/>
      <c r="AC25" s="34"/>
    </row>
    <row r="26" spans="1:29" ht="15" customHeight="1" thickBot="1" x14ac:dyDescent="0.3">
      <c r="A26" s="108"/>
      <c r="B26" s="26"/>
      <c r="C26" s="26"/>
      <c r="D26" s="27"/>
      <c r="E26" s="27"/>
      <c r="F26" s="26"/>
      <c r="G26" s="27"/>
      <c r="H26" s="26"/>
      <c r="I26" s="26"/>
      <c r="J26" s="26"/>
      <c r="K26" s="119"/>
      <c r="L26" s="118"/>
      <c r="M26" s="28"/>
      <c r="N26" s="118"/>
      <c r="O26" s="29"/>
      <c r="P26" s="26"/>
      <c r="Q26" s="30"/>
      <c r="R26" s="30"/>
      <c r="S26" s="28"/>
      <c r="T26" s="31"/>
      <c r="U26" s="32"/>
      <c r="V26" s="33"/>
      <c r="W26" s="31"/>
      <c r="X26" s="28"/>
      <c r="Y26" s="28"/>
      <c r="Z26" s="28"/>
      <c r="AA26" s="28"/>
      <c r="AB26" s="122"/>
      <c r="AC26" s="34"/>
    </row>
    <row r="27" spans="1:29" ht="15" customHeight="1" thickBot="1" x14ac:dyDescent="0.3">
      <c r="A27" s="108"/>
      <c r="B27" s="26"/>
      <c r="C27" s="26"/>
      <c r="D27" s="27"/>
      <c r="E27" s="27"/>
      <c r="F27" s="26"/>
      <c r="G27" s="27"/>
      <c r="H27" s="26"/>
      <c r="I27" s="26"/>
      <c r="J27" s="26"/>
      <c r="K27" s="119"/>
      <c r="L27" s="118"/>
      <c r="M27" s="28"/>
      <c r="N27" s="118"/>
      <c r="O27" s="29"/>
      <c r="P27" s="26"/>
      <c r="Q27" s="30"/>
      <c r="R27" s="30"/>
      <c r="S27" s="28"/>
      <c r="T27" s="31"/>
      <c r="U27" s="32"/>
      <c r="V27" s="33"/>
      <c r="W27" s="31"/>
      <c r="X27" s="28"/>
      <c r="Y27" s="28"/>
      <c r="Z27" s="28"/>
      <c r="AA27" s="28"/>
      <c r="AB27" s="122"/>
      <c r="AC27" s="34"/>
    </row>
    <row r="28" spans="1:29" ht="15" customHeight="1" thickBot="1" x14ac:dyDescent="0.3">
      <c r="A28" s="108"/>
      <c r="B28" s="26"/>
      <c r="C28" s="26"/>
      <c r="D28" s="27"/>
      <c r="E28" s="27"/>
      <c r="F28" s="26"/>
      <c r="G28" s="27"/>
      <c r="H28" s="26"/>
      <c r="I28" s="26"/>
      <c r="J28" s="26"/>
      <c r="K28" s="119"/>
      <c r="L28" s="118"/>
      <c r="M28" s="28"/>
      <c r="N28" s="118"/>
      <c r="O28" s="29"/>
      <c r="P28" s="26"/>
      <c r="Q28" s="30"/>
      <c r="R28" s="30"/>
      <c r="S28" s="28"/>
      <c r="T28" s="31"/>
      <c r="U28" s="32"/>
      <c r="V28" s="33"/>
      <c r="W28" s="31"/>
      <c r="X28" s="28"/>
      <c r="Y28" s="28"/>
      <c r="Z28" s="28"/>
      <c r="AA28" s="28"/>
      <c r="AB28" s="122"/>
      <c r="AC28" s="34"/>
    </row>
    <row r="29" spans="1:29" ht="15" customHeight="1" thickBot="1" x14ac:dyDescent="0.3">
      <c r="A29" s="108"/>
      <c r="B29" s="26"/>
      <c r="C29" s="26"/>
      <c r="D29" s="27"/>
      <c r="E29" s="27"/>
      <c r="F29" s="26"/>
      <c r="G29" s="27"/>
      <c r="H29" s="26"/>
      <c r="I29" s="26"/>
      <c r="J29" s="26"/>
      <c r="K29" s="119"/>
      <c r="L29" s="118"/>
      <c r="M29" s="28"/>
      <c r="N29" s="118"/>
      <c r="O29" s="29"/>
      <c r="P29" s="26"/>
      <c r="Q29" s="30"/>
      <c r="R29" s="30"/>
      <c r="S29" s="28"/>
      <c r="T29" s="31"/>
      <c r="U29" s="32"/>
      <c r="V29" s="33"/>
      <c r="W29" s="31"/>
      <c r="X29" s="28"/>
      <c r="Y29" s="28"/>
      <c r="Z29" s="28"/>
      <c r="AA29" s="28"/>
      <c r="AB29" s="122"/>
      <c r="AC29" s="34"/>
    </row>
    <row r="30" spans="1:29" ht="15" customHeight="1" thickBot="1" x14ac:dyDescent="0.3">
      <c r="A30" s="108"/>
      <c r="B30" s="26"/>
      <c r="C30" s="26"/>
      <c r="D30" s="27"/>
      <c r="E30" s="27"/>
      <c r="F30" s="26"/>
      <c r="G30" s="27"/>
      <c r="H30" s="26"/>
      <c r="I30" s="26"/>
      <c r="J30" s="26"/>
      <c r="K30" s="119"/>
      <c r="L30" s="118"/>
      <c r="M30" s="28"/>
      <c r="N30" s="118"/>
      <c r="O30" s="29"/>
      <c r="P30" s="26"/>
      <c r="Q30" s="30"/>
      <c r="R30" s="30"/>
      <c r="S30" s="28"/>
      <c r="T30" s="31"/>
      <c r="U30" s="32"/>
      <c r="V30" s="33"/>
      <c r="W30" s="31"/>
      <c r="X30" s="28"/>
      <c r="Y30" s="28"/>
      <c r="Z30" s="28"/>
      <c r="AA30" s="28"/>
      <c r="AB30" s="122"/>
      <c r="AC30" s="34"/>
    </row>
    <row r="31" spans="1:29" ht="15" customHeight="1" thickBot="1" x14ac:dyDescent="0.3">
      <c r="A31" s="108"/>
      <c r="B31" s="26"/>
      <c r="C31" s="26"/>
      <c r="D31" s="27"/>
      <c r="E31" s="27"/>
      <c r="F31" s="26"/>
      <c r="G31" s="27"/>
      <c r="H31" s="26"/>
      <c r="I31" s="26"/>
      <c r="J31" s="26"/>
      <c r="K31" s="119"/>
      <c r="L31" s="118"/>
      <c r="M31" s="28"/>
      <c r="N31" s="118"/>
      <c r="O31" s="29"/>
      <c r="P31" s="26"/>
      <c r="Q31" s="30"/>
      <c r="R31" s="30"/>
      <c r="S31" s="28"/>
      <c r="T31" s="31"/>
      <c r="U31" s="32"/>
      <c r="V31" s="33"/>
      <c r="W31" s="31"/>
      <c r="X31" s="28"/>
      <c r="Y31" s="28"/>
      <c r="Z31" s="28"/>
      <c r="AA31" s="28"/>
      <c r="AB31" s="122"/>
      <c r="AC31" s="34"/>
    </row>
    <row r="32" spans="1:29" ht="15" customHeight="1" thickBot="1" x14ac:dyDescent="0.3">
      <c r="A32" s="108"/>
      <c r="B32" s="26"/>
      <c r="C32" s="26"/>
      <c r="D32" s="27"/>
      <c r="E32" s="27"/>
      <c r="F32" s="26"/>
      <c r="G32" s="27"/>
      <c r="H32" s="26"/>
      <c r="I32" s="26"/>
      <c r="J32" s="26"/>
      <c r="K32" s="119"/>
      <c r="L32" s="118"/>
      <c r="M32" s="28"/>
      <c r="N32" s="118"/>
      <c r="O32" s="29"/>
      <c r="P32" s="26"/>
      <c r="Q32" s="30"/>
      <c r="R32" s="30"/>
      <c r="S32" s="28"/>
      <c r="T32" s="31"/>
      <c r="U32" s="32"/>
      <c r="V32" s="33"/>
      <c r="W32" s="31"/>
      <c r="X32" s="28"/>
      <c r="Y32" s="28"/>
      <c r="Z32" s="28"/>
      <c r="AA32" s="28"/>
      <c r="AB32" s="122"/>
      <c r="AC32" s="34"/>
    </row>
    <row r="33" spans="1:29" ht="15" customHeight="1" thickBot="1" x14ac:dyDescent="0.3">
      <c r="A33" s="108"/>
      <c r="B33" s="26"/>
      <c r="C33" s="26"/>
      <c r="D33" s="27"/>
      <c r="E33" s="27"/>
      <c r="F33" s="26"/>
      <c r="G33" s="27"/>
      <c r="H33" s="26"/>
      <c r="I33" s="26"/>
      <c r="J33" s="26"/>
      <c r="K33" s="119"/>
      <c r="L33" s="118"/>
      <c r="M33" s="28"/>
      <c r="N33" s="118"/>
      <c r="O33" s="29"/>
      <c r="P33" s="26"/>
      <c r="Q33" s="30"/>
      <c r="R33" s="30"/>
      <c r="S33" s="28"/>
      <c r="T33" s="31"/>
      <c r="U33" s="32"/>
      <c r="V33" s="33"/>
      <c r="W33" s="31"/>
      <c r="X33" s="28"/>
      <c r="Y33" s="28"/>
      <c r="Z33" s="28"/>
      <c r="AA33" s="28"/>
      <c r="AB33" s="122"/>
      <c r="AC33" s="34"/>
    </row>
    <row r="34" spans="1:29" ht="15" customHeight="1" thickBot="1" x14ac:dyDescent="0.3">
      <c r="A34" s="108"/>
      <c r="B34" s="26"/>
      <c r="C34" s="26"/>
      <c r="D34" s="27"/>
      <c r="E34" s="27"/>
      <c r="F34" s="26"/>
      <c r="G34" s="27"/>
      <c r="H34" s="26"/>
      <c r="I34" s="26"/>
      <c r="J34" s="26"/>
      <c r="K34" s="119"/>
      <c r="L34" s="118"/>
      <c r="M34" s="28"/>
      <c r="N34" s="118"/>
      <c r="O34" s="29"/>
      <c r="P34" s="26"/>
      <c r="Q34" s="30"/>
      <c r="R34" s="30"/>
      <c r="S34" s="28"/>
      <c r="T34" s="31"/>
      <c r="U34" s="32"/>
      <c r="V34" s="33"/>
      <c r="W34" s="31"/>
      <c r="X34" s="28"/>
      <c r="Y34" s="28"/>
      <c r="Z34" s="28"/>
      <c r="AA34" s="28"/>
      <c r="AB34" s="122"/>
      <c r="AC34" s="34"/>
    </row>
    <row r="35" spans="1:29" ht="15" customHeight="1" thickBot="1" x14ac:dyDescent="0.3">
      <c r="A35" s="28"/>
      <c r="B35" s="26"/>
      <c r="C35" s="26"/>
      <c r="D35" s="27"/>
      <c r="E35" s="27"/>
      <c r="F35" s="26"/>
      <c r="G35" s="27"/>
      <c r="H35" s="26"/>
      <c r="I35" s="26"/>
      <c r="J35" s="26"/>
      <c r="K35" s="119"/>
      <c r="L35" s="118"/>
      <c r="M35" s="28"/>
      <c r="N35" s="118"/>
      <c r="O35" s="29"/>
      <c r="P35" s="26"/>
      <c r="Q35" s="30"/>
      <c r="R35" s="30"/>
      <c r="S35" s="28"/>
      <c r="T35" s="31"/>
      <c r="U35" s="32"/>
      <c r="V35" s="33"/>
      <c r="W35" s="31"/>
      <c r="X35" s="28"/>
      <c r="Y35" s="28"/>
      <c r="Z35" s="28"/>
      <c r="AA35" s="28"/>
      <c r="AB35" s="122"/>
      <c r="AC35" s="34"/>
    </row>
    <row r="36" spans="1:29" ht="15" customHeight="1" thickBot="1" x14ac:dyDescent="0.3">
      <c r="A36" s="37"/>
      <c r="B36" s="35"/>
      <c r="C36" s="35"/>
      <c r="D36" s="36"/>
      <c r="E36" s="36"/>
      <c r="F36" s="35"/>
      <c r="G36" s="36"/>
      <c r="H36" s="35"/>
      <c r="I36" s="35"/>
      <c r="J36" s="35"/>
      <c r="K36" s="120"/>
      <c r="L36" s="121"/>
      <c r="M36" s="37"/>
      <c r="N36" s="115"/>
      <c r="O36" s="38"/>
      <c r="P36" s="35"/>
      <c r="Q36" s="39"/>
      <c r="R36" s="39"/>
      <c r="S36" s="37"/>
      <c r="T36" s="40"/>
      <c r="U36" s="41"/>
      <c r="V36" s="42"/>
      <c r="W36" s="40"/>
      <c r="X36" s="37"/>
      <c r="Y36" s="37"/>
      <c r="Z36" s="37"/>
      <c r="AA36" s="37"/>
      <c r="AB36" s="123"/>
      <c r="AC36" s="43"/>
    </row>
    <row r="41" spans="1:29" x14ac:dyDescent="0.25">
      <c r="A41" t="s">
        <v>29</v>
      </c>
    </row>
    <row r="43" spans="1:29" x14ac:dyDescent="0.25">
      <c r="A43" t="s">
        <v>30</v>
      </c>
    </row>
    <row r="45" spans="1:29" x14ac:dyDescent="0.25">
      <c r="A45" t="s">
        <v>31</v>
      </c>
    </row>
  </sheetData>
  <mergeCells count="33">
    <mergeCell ref="O13:P13"/>
    <mergeCell ref="V12:V14"/>
    <mergeCell ref="W12:Z13"/>
    <mergeCell ref="AA12:AA14"/>
    <mergeCell ref="AB12:AB14"/>
    <mergeCell ref="AC12:AC14"/>
    <mergeCell ref="D13:D14"/>
    <mergeCell ref="E13:E14"/>
    <mergeCell ref="F13:G13"/>
    <mergeCell ref="H13:H14"/>
    <mergeCell ref="I13:J13"/>
    <mergeCell ref="D12:P12"/>
    <mergeCell ref="Q12:Q14"/>
    <mergeCell ref="R12:R13"/>
    <mergeCell ref="S12:S14"/>
    <mergeCell ref="T12:T13"/>
    <mergeCell ref="U12:U13"/>
    <mergeCell ref="K13:K14"/>
    <mergeCell ref="L13:L14"/>
    <mergeCell ref="M13:M14"/>
    <mergeCell ref="N13:N14"/>
    <mergeCell ref="B8:C8"/>
    <mergeCell ref="B9:C9"/>
    <mergeCell ref="B10:C10"/>
    <mergeCell ref="A12:A14"/>
    <mergeCell ref="B12:B14"/>
    <mergeCell ref="C12:C14"/>
    <mergeCell ref="B7:C7"/>
    <mergeCell ref="B2:R2"/>
    <mergeCell ref="B3:R3"/>
    <mergeCell ref="B4:C4"/>
    <mergeCell ref="B5:C5"/>
    <mergeCell ref="B6:C6"/>
  </mergeCells>
  <dataValidations count="24">
    <dataValidation allowBlank="1" showInputMessage="1" showErrorMessage="1" promptTitle="Подсказка:" prompt="В случае, если проведение закупки планируется на официальной Электронной торговой площадке Государственной корпорации «Ростех» и ОАО «АК «Транснефть» (www.etprf.ru)  в данном поле указывается сокращение: etprf" sqref="S12:S14"/>
    <dataValidation allowBlank="1" showInputMessage="1" showErrorMessage="1" promptTitle="Пример:" prompt="45000000000 Москва_x000a_70000000000 Тульская область" sqref="I13:J13"/>
    <dataValidation allowBlank="1" showInputMessage="1" showErrorMessage="1" promptTitle="Подсказка:" prompt="Выбрать из выпадающего списка пункт Единого положения, на основании которого проводится закупка у единственного поставщика или указать: Не применимо._x000a__x000a_Перечень пунктов приведен во вкладке &quot;Справочно&quot;." sqref="W14"/>
    <dataValidation allowBlank="1" showInputMessage="1" showErrorMessage="1" promptTitle="Подсказка:" prompt="Выбрать из выпадающего списка или заполнить вручную._x000a__x000a_Перечень сокращений с расшифровками приведен во вкладке &quot;Справочно&quot;." sqref="V12:V14"/>
    <dataValidation allowBlank="1" showInputMessage="1" showErrorMessage="1" promptTitle="Подсказка:" prompt="Указывается перечень поставщиков, выбранных по результатам квалификационного отбора и/или для закрытых закупок." sqref="U14"/>
    <dataValidation allowBlank="1" showInputMessage="1" showErrorMessage="1" promptTitle="Подсказка:" prompt="Указать индивидуальный номер закупки (квалификационного отбора для серии закупок), по результатам которой проводится лот._x000a__x000a_Или указать: Не применимо" sqref="T14"/>
    <dataValidation allowBlank="1" showInputMessage="1" showErrorMessage="1" promptTitle="Пример:" prompt="Декабрь 2015" sqref="P14"/>
    <dataValidation allowBlank="1" showInputMessage="1" showErrorMessage="1" promptTitle="Пример:" prompt="Январь 2015" sqref="O14"/>
    <dataValidation allowBlank="1" showInputMessage="1" showErrorMessage="1" promptTitle="Подсказка:" prompt="Способ закупки выбирается из всплывающего списка или заполняется вручную" sqref="Q12:Q14"/>
    <dataValidation allowBlank="1" showInputMessage="1" showErrorMessage="1" promptTitle="Подсказка:" prompt="Пересчет на рубли осуществляется по курсу ЦБ РФ, установленному на день формирования НМЦ_x000a__x000a_Сведения о курсе пересчета указываются в столбце &quot;Примечание&quot;" sqref="L13:L14"/>
    <dataValidation allowBlank="1" showInputMessage="1" showErrorMessage="1" promptTitle="Пример:" prompt="Москва_x000a__x000a_Тульская область" sqref="J14"/>
    <dataValidation allowBlank="1" showInputMessage="1" showErrorMessage="1" promptTitle="Пример: " prompt="45000000000_x000a_для Москвы_x000a__x000a_70000000000_x000a_для Тульской области" sqref="I14"/>
    <dataValidation allowBlank="1" showInputMessage="1" showErrorMessage="1" promptTitle="Подсказка:" prompt="Указать количество (объем) закупаемой продукции._x000a__x000a_*При указании в поле «Единица измерения» признака «Не применимо», в поле «Сведения о количестве (объеме)» указывается:_x000a__x000a_Не применимо" sqref="H13:H14"/>
    <dataValidation allowBlank="1" showInputMessage="1" showErrorMessage="1" promptTitle="Пример: Килограмм" prompt="_x000a_*При отсутствии кода и наименования единицы изменения, предусмотренного ОКЕИ в соответствующем поле указать:_x000a__x000a_Не применимо" sqref="G14"/>
    <dataValidation allowBlank="1" showInputMessage="1" showErrorMessage="1" promptTitle="Пример: 166" prompt="_x000a_*При отсутствии кода и наименования единицы изменения, предусмотренного ОКЕИ в соответствующем поле указать:_x000a__x000a_Не применимо" sqref="F14"/>
    <dataValidation allowBlank="1" showInputMessage="1" showErrorMessage="1" promptTitle="Пример: F 4560234" prompt="Для газоснабжения" sqref="C12:C14"/>
    <dataValidation allowBlank="1" showInputMessage="1" showErrorMessage="1" promptTitle="Подсказка:" prompt="Предмет договора должен полно и четко описывать закупаемую продукцию._x000a__x000a_Примеры:_x000a_01-001-00001 Поставка канцелярских товаров_x000a__x000a_01-001-00002 Выполнение работ по строительству объекта &quot;...&quot;_x000a__x000a_01-001-00003 Оказание услуг по проведению конференции" sqref="D13:D14"/>
    <dataValidation allowBlank="1" showInputMessage="1" showErrorMessage="1" promptTitle="Пример: М.71.12.11 или 71.12.11" prompt="Для разработки проектов тепло-, водо-, газоснабжения" sqref="B12:B14"/>
    <dataValidation allowBlank="1" showInputMessage="1" showErrorMessage="1" promptTitle="Подсказка:" prompt="Указать не менее 2-х минимальных требований по предмету договора._x000a__x000a_Пример:_x000a_Закупаемая продукция должна соответствовать целевому назначению; быть своевременно предоставлена; соответствовать требованиям безопасности, надежности и экологичности" sqref="E13:E14"/>
    <dataValidation allowBlank="1" showInputMessage="1" showErrorMessage="1" promptTitle="Пример:" prompt="1 234 567,89 Российских рублей_x000a__x000a_2 000 000,00 долларов США_x000a__x000a_3 000 000,30 евро" sqref="K13:K14"/>
    <dataValidation allowBlank="1" showInputMessage="1" showErrorMessage="1" errorTitle="Ошибка ввода" error="Основание должно быть выбрано из выпадающего списка пунктов Положения о закупках" sqref="X16:X36"/>
    <dataValidation allowBlank="1" showInputMessage="1" showErrorMessage="1" errorTitle="Ошибка ввода" error="Необходимо выбрать из выпадающего списка" sqref="T16:U36"/>
    <dataValidation type="date" allowBlank="1" showInputMessage="1" showErrorMessage="1" errorTitle="Ошибка ввода" error="Дата должна быть в формате: &quot;Месяц год&quot;._x000a__x000a_Пример: Январь 2015" sqref="O16:P36">
      <formula1>1</formula1>
      <formula2>2958465</formula2>
    </dataValidation>
    <dataValidation allowBlank="1" showInputMessage="1" showErrorMessage="1" errorTitle="Ошибка ввода" error="Необходимо выбрать наименование из выпадающего списка" sqref="AB16:AB36"/>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Title="Ошибка ввода" error="Необходимо выбрать из выпадающего списка">
          <x14:formula1>
            <xm:f>Справочно!$E$16:$E$18</xm:f>
          </x14:formula1>
          <xm:sqref>R16:R36</xm:sqref>
        </x14:dataValidation>
        <x14:dataValidation type="list" allowBlank="1" showInputMessage="1" showErrorMessage="1" errorTitle="Ошибка ввода" error="Необходимо выбрать способ закупки из выпадающего списка">
          <x14:formula1>
            <xm:f>Справочно!$C$12:$C$34</xm:f>
          </x14:formula1>
          <xm:sqref>Q16:Q36</xm:sqref>
        </x14:dataValidation>
        <x14:dataValidation type="list" allowBlank="1" showInputMessage="1" showErrorMessage="1" errorTitle="Ошибка ввода" error="Основание должно быть выбрано из выпадающего списка пунктов Положения о закупках">
          <x14:formula1>
            <xm:f>Справочно!$G$3:$G$54</xm:f>
          </x14:formula1>
          <xm:sqref>W16:W36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79"/>
  <sheetViews>
    <sheetView zoomScaleNormal="100" workbookViewId="0">
      <selection activeCell="E82" sqref="E82"/>
    </sheetView>
  </sheetViews>
  <sheetFormatPr defaultRowHeight="12.75" x14ac:dyDescent="0.2"/>
  <cols>
    <col min="1" max="1" width="32.7109375" style="48" customWidth="1"/>
    <col min="2" max="2" width="17" style="48" customWidth="1"/>
    <col min="3" max="3" width="12.28515625" style="48" customWidth="1"/>
    <col min="4" max="4" width="23.5703125" style="48" customWidth="1"/>
    <col min="5" max="5" width="13.85546875" style="48" customWidth="1"/>
    <col min="6" max="6" width="9.140625" style="48"/>
    <col min="7" max="7" width="10.5703125" style="48" customWidth="1"/>
    <col min="8" max="8" width="17.85546875" style="48" customWidth="1"/>
    <col min="9" max="9" width="10.5703125" style="48" customWidth="1"/>
    <col min="10" max="10" width="19.28515625" style="48" customWidth="1"/>
    <col min="11" max="11" width="10.5703125" style="48" customWidth="1"/>
    <col min="12" max="12" width="19.5703125" style="48" customWidth="1"/>
    <col min="13" max="13" width="10.5703125" style="48" customWidth="1"/>
    <col min="14" max="14" width="20" style="48" customWidth="1"/>
    <col min="15" max="15" width="10.7109375" style="48" customWidth="1"/>
    <col min="16" max="16" width="22.5703125" style="48" customWidth="1"/>
    <col min="17" max="17" width="10.5703125" style="48" customWidth="1"/>
    <col min="18" max="18" width="21" style="48" customWidth="1"/>
    <col min="19" max="19" width="10.5703125" style="48" customWidth="1"/>
    <col min="20" max="20" width="19.85546875" style="48" customWidth="1"/>
    <col min="21" max="21" width="10.5703125" style="48" customWidth="1"/>
    <col min="22" max="22" width="22.140625" style="48" customWidth="1"/>
    <col min="23" max="23" width="10.5703125" style="48" customWidth="1"/>
    <col min="24" max="24" width="21.28515625" style="48" customWidth="1"/>
    <col min="25" max="25" width="10.5703125" style="48" customWidth="1"/>
    <col min="26" max="26" width="19.7109375" style="48" customWidth="1"/>
    <col min="27" max="27" width="10.5703125" style="48" customWidth="1"/>
    <col min="28" max="28" width="21.140625" style="48" customWidth="1"/>
    <col min="29" max="29" width="10.5703125" style="48" customWidth="1"/>
    <col min="30" max="30" width="26.5703125" style="48" customWidth="1"/>
    <col min="31" max="31" width="10.5703125" style="48" customWidth="1"/>
    <col min="32" max="32" width="20.42578125" style="48" customWidth="1"/>
    <col min="33" max="33" width="10.5703125" style="48" customWidth="1"/>
    <col min="34" max="34" width="27.28515625" style="48" customWidth="1"/>
    <col min="35" max="35" width="10.5703125" style="48" customWidth="1"/>
    <col min="36" max="36" width="20.42578125" style="48" customWidth="1"/>
    <col min="37" max="37" width="10.5703125" style="48" customWidth="1"/>
    <col min="38" max="38" width="21.7109375" style="48" customWidth="1"/>
    <col min="39" max="16384" width="9.140625" style="48"/>
  </cols>
  <sheetData>
    <row r="2" spans="1:38" ht="13.5" customHeight="1" x14ac:dyDescent="0.2">
      <c r="A2" s="700" t="s">
        <v>116</v>
      </c>
      <c r="B2" s="700"/>
      <c r="C2" s="700"/>
      <c r="D2" s="700"/>
      <c r="E2" s="700"/>
      <c r="F2" s="700"/>
      <c r="G2" s="700"/>
      <c r="H2" s="700"/>
      <c r="I2" s="700"/>
      <c r="J2" s="700"/>
      <c r="K2" s="700"/>
      <c r="L2" s="700"/>
      <c r="M2" s="700"/>
      <c r="N2" s="700"/>
      <c r="O2" s="700"/>
      <c r="P2" s="700"/>
    </row>
    <row r="3" spans="1:38" ht="15.75" customHeight="1" thickBot="1" x14ac:dyDescent="0.25">
      <c r="A3" s="14"/>
      <c r="B3" s="14"/>
      <c r="C3" s="14"/>
      <c r="F3" s="242" t="s">
        <v>333</v>
      </c>
      <c r="G3" s="244"/>
      <c r="H3" s="243" t="s">
        <v>334</v>
      </c>
      <c r="I3" s="14"/>
      <c r="J3" s="14"/>
      <c r="K3" s="14"/>
      <c r="L3" s="14"/>
      <c r="M3" s="14"/>
      <c r="N3" s="14"/>
      <c r="O3" s="14"/>
      <c r="P3" s="14"/>
      <c r="Q3" s="14"/>
      <c r="R3" s="14"/>
      <c r="S3" s="14"/>
      <c r="T3" s="14"/>
      <c r="U3" s="14"/>
      <c r="V3" s="14"/>
      <c r="W3" s="14"/>
    </row>
    <row r="4" spans="1:38" x14ac:dyDescent="0.2">
      <c r="A4" s="6" t="s">
        <v>1</v>
      </c>
      <c r="B4" s="731" t="str">
        <f>РПЗ!B4</f>
        <v>Акционерное общество «Научно-производственное объединение «Импульс»</v>
      </c>
      <c r="C4" s="732"/>
      <c r="D4" s="112"/>
      <c r="E4" s="112"/>
      <c r="F4" s="112"/>
      <c r="G4" s="112"/>
      <c r="H4" s="114"/>
      <c r="I4" s="112"/>
      <c r="J4" s="114"/>
      <c r="K4" s="114"/>
      <c r="L4" s="114"/>
      <c r="M4" s="114"/>
      <c r="N4" s="114"/>
    </row>
    <row r="5" spans="1:38" x14ac:dyDescent="0.2">
      <c r="A5" s="7" t="s">
        <v>2</v>
      </c>
      <c r="B5" s="729" t="str">
        <f>РПЗ!B5</f>
        <v>Российская Федерация, 195220, Санкт-Петербург, ул. Обручевых, д.1</v>
      </c>
      <c r="C5" s="730"/>
      <c r="D5" s="112"/>
      <c r="E5" s="112"/>
      <c r="F5" s="112"/>
      <c r="G5" s="112"/>
      <c r="H5" s="114"/>
      <c r="I5" s="112"/>
      <c r="J5" s="114"/>
      <c r="K5" s="114"/>
      <c r="L5" s="114"/>
      <c r="M5" s="114"/>
      <c r="N5" s="114"/>
    </row>
    <row r="6" spans="1:38" x14ac:dyDescent="0.2">
      <c r="A6" s="7" t="s">
        <v>3</v>
      </c>
      <c r="B6" s="729" t="str">
        <f>РПЗ!B6</f>
        <v>(812)2904855</v>
      </c>
      <c r="C6" s="730"/>
      <c r="D6" s="112"/>
      <c r="E6" s="112"/>
      <c r="F6" s="112"/>
      <c r="G6" s="112"/>
      <c r="H6" s="114"/>
      <c r="I6" s="112"/>
      <c r="J6" s="114"/>
      <c r="K6" s="114"/>
      <c r="L6" s="114"/>
      <c r="M6" s="114"/>
      <c r="N6" s="114"/>
    </row>
    <row r="7" spans="1:38" x14ac:dyDescent="0.2">
      <c r="A7" s="7" t="s">
        <v>4</v>
      </c>
      <c r="B7" s="729" t="str">
        <f>РПЗ!B7</f>
        <v>kanz@npoimpuls.ru</v>
      </c>
      <c r="C7" s="730"/>
      <c r="D7" s="112"/>
      <c r="E7" s="112"/>
      <c r="F7" s="112"/>
      <c r="G7" s="112"/>
      <c r="H7" s="114"/>
      <c r="I7" s="112"/>
      <c r="J7" s="114"/>
      <c r="K7" s="114"/>
      <c r="L7" s="114"/>
      <c r="M7" s="114"/>
      <c r="N7" s="114"/>
    </row>
    <row r="8" spans="1:38" x14ac:dyDescent="0.2">
      <c r="A8" s="7" t="s">
        <v>5</v>
      </c>
      <c r="B8" s="729">
        <f>РПЗ!B8</f>
        <v>7804478424</v>
      </c>
      <c r="C8" s="730"/>
      <c r="D8" s="112"/>
      <c r="E8" s="112"/>
      <c r="F8" s="112"/>
      <c r="G8" s="112"/>
      <c r="H8" s="114"/>
      <c r="I8" s="112"/>
      <c r="J8" s="114"/>
      <c r="K8" s="114"/>
      <c r="L8" s="114"/>
      <c r="M8" s="114"/>
      <c r="N8" s="114"/>
    </row>
    <row r="9" spans="1:38" x14ac:dyDescent="0.2">
      <c r="A9" s="7" t="s">
        <v>6</v>
      </c>
      <c r="B9" s="729">
        <f>РПЗ!B9</f>
        <v>780401001</v>
      </c>
      <c r="C9" s="730"/>
      <c r="D9" s="112"/>
      <c r="E9" s="112"/>
      <c r="F9" s="112"/>
      <c r="G9" s="112"/>
      <c r="H9" s="114"/>
      <c r="I9" s="112"/>
      <c r="J9" s="114"/>
      <c r="K9" s="114"/>
      <c r="L9" s="114"/>
      <c r="M9" s="114"/>
      <c r="N9" s="114"/>
    </row>
    <row r="10" spans="1:38" ht="13.5" thickBot="1" x14ac:dyDescent="0.25">
      <c r="A10" s="8" t="s">
        <v>7</v>
      </c>
      <c r="B10" s="733">
        <f>РПЗ!B10</f>
        <v>40273562000</v>
      </c>
      <c r="C10" s="734"/>
    </row>
    <row r="11" spans="1:38" ht="13.5" thickBot="1" x14ac:dyDescent="0.25">
      <c r="A11" s="20"/>
      <c r="B11" s="168"/>
      <c r="C11" s="168"/>
    </row>
    <row r="12" spans="1:38" ht="26.25" thickBot="1" x14ac:dyDescent="0.25">
      <c r="B12" s="61" t="s">
        <v>119</v>
      </c>
      <c r="C12" s="76" t="s">
        <v>118</v>
      </c>
      <c r="D12" s="65" t="s">
        <v>120</v>
      </c>
      <c r="E12" s="77" t="s">
        <v>118</v>
      </c>
      <c r="G12" s="751" t="s">
        <v>309</v>
      </c>
      <c r="H12" s="752"/>
      <c r="I12" s="752"/>
      <c r="J12" s="752"/>
      <c r="K12" s="752"/>
      <c r="L12" s="752"/>
      <c r="M12" s="752"/>
      <c r="N12" s="753"/>
      <c r="O12" s="757" t="s">
        <v>310</v>
      </c>
      <c r="P12" s="758"/>
      <c r="Q12" s="758"/>
      <c r="R12" s="758"/>
      <c r="S12" s="758"/>
      <c r="T12" s="758"/>
      <c r="U12" s="758"/>
      <c r="V12" s="759"/>
      <c r="W12" s="763" t="s">
        <v>311</v>
      </c>
      <c r="X12" s="764"/>
      <c r="Y12" s="764"/>
      <c r="Z12" s="764"/>
      <c r="AA12" s="764"/>
      <c r="AB12" s="764"/>
      <c r="AC12" s="764"/>
      <c r="AD12" s="765"/>
      <c r="AE12" s="769" t="s">
        <v>312</v>
      </c>
      <c r="AF12" s="770"/>
      <c r="AG12" s="770"/>
      <c r="AH12" s="770"/>
      <c r="AI12" s="770"/>
      <c r="AJ12" s="770"/>
      <c r="AK12" s="770"/>
      <c r="AL12" s="771"/>
    </row>
    <row r="13" spans="1:38" ht="15.75" customHeight="1" thickBot="1" x14ac:dyDescent="0.25">
      <c r="B13" s="78">
        <f>SUM(B16:B35)+B38</f>
        <v>186</v>
      </c>
      <c r="C13" s="79">
        <v>1</v>
      </c>
      <c r="D13" s="473">
        <f>SUM(РПЗ!$L:$L)</f>
        <v>432074848.10999995</v>
      </c>
      <c r="E13" s="80">
        <v>1</v>
      </c>
      <c r="G13" s="754"/>
      <c r="H13" s="755"/>
      <c r="I13" s="755"/>
      <c r="J13" s="755"/>
      <c r="K13" s="755"/>
      <c r="L13" s="755"/>
      <c r="M13" s="755"/>
      <c r="N13" s="756"/>
      <c r="O13" s="760"/>
      <c r="P13" s="761"/>
      <c r="Q13" s="761"/>
      <c r="R13" s="761"/>
      <c r="S13" s="761"/>
      <c r="T13" s="761"/>
      <c r="U13" s="761"/>
      <c r="V13" s="762"/>
      <c r="W13" s="766"/>
      <c r="X13" s="767"/>
      <c r="Y13" s="767"/>
      <c r="Z13" s="767"/>
      <c r="AA13" s="767"/>
      <c r="AB13" s="767"/>
      <c r="AC13" s="767"/>
      <c r="AD13" s="768"/>
      <c r="AE13" s="772"/>
      <c r="AF13" s="773"/>
      <c r="AG13" s="773"/>
      <c r="AH13" s="773"/>
      <c r="AI13" s="773"/>
      <c r="AJ13" s="773"/>
      <c r="AK13" s="773"/>
      <c r="AL13" s="774"/>
    </row>
    <row r="14" spans="1:38" ht="18.75" customHeight="1" thickBot="1" x14ac:dyDescent="0.25">
      <c r="G14" s="747" t="str">
        <f>CONCATENATE(Справочно!$I3,ПП!$G$3)</f>
        <v xml:space="preserve">Январь </v>
      </c>
      <c r="H14" s="748"/>
      <c r="I14" s="748" t="str">
        <f>CONCATENATE(Справочно!$I4,ПП!$G$3)</f>
        <v xml:space="preserve">Февраль </v>
      </c>
      <c r="J14" s="748"/>
      <c r="K14" s="748" t="str">
        <f>CONCATENATE(Справочно!$I5,ПП!$G$3)</f>
        <v xml:space="preserve">Март </v>
      </c>
      <c r="L14" s="749"/>
      <c r="M14" s="750" t="s">
        <v>313</v>
      </c>
      <c r="N14" s="750"/>
      <c r="O14" s="747" t="str">
        <f>CONCATENATE(Справочно!$I6,ПП!$G$3)</f>
        <v xml:space="preserve">Апрель </v>
      </c>
      <c r="P14" s="748"/>
      <c r="Q14" s="747" t="str">
        <f>CONCATENATE(Справочно!$I7,ПП!$G$3)</f>
        <v xml:space="preserve">Май </v>
      </c>
      <c r="R14" s="748"/>
      <c r="S14" s="747" t="str">
        <f>CONCATENATE(Справочно!$I8,ПП!$G$3)</f>
        <v xml:space="preserve">Июнь </v>
      </c>
      <c r="T14" s="748"/>
      <c r="U14" s="750" t="s">
        <v>314</v>
      </c>
      <c r="V14" s="750"/>
      <c r="W14" s="747" t="str">
        <f>CONCATENATE(Справочно!$I9,ПП!$G$3)</f>
        <v xml:space="preserve">Июль </v>
      </c>
      <c r="X14" s="748"/>
      <c r="Y14" s="747" t="str">
        <f>CONCATENATE(Справочно!$I10,ПП!$G$3)</f>
        <v xml:space="preserve">Август </v>
      </c>
      <c r="Z14" s="748"/>
      <c r="AA14" s="747" t="str">
        <f>CONCATENATE(Справочно!$I11,ПП!$G$3)</f>
        <v xml:space="preserve">Сентябрь </v>
      </c>
      <c r="AB14" s="748"/>
      <c r="AC14" s="750" t="s">
        <v>315</v>
      </c>
      <c r="AD14" s="750"/>
      <c r="AE14" s="747" t="str">
        <f>CONCATENATE(Справочно!$I12,ПП!$G$3)</f>
        <v xml:space="preserve">Октябрь </v>
      </c>
      <c r="AF14" s="748"/>
      <c r="AG14" s="747" t="str">
        <f>CONCATENATE(Справочно!$I13,ПП!$G$3)</f>
        <v xml:space="preserve">Ноябрь </v>
      </c>
      <c r="AH14" s="748"/>
      <c r="AI14" s="747" t="str">
        <f>CONCATENATE(Справочно!$I14,ПП!$G$3)</f>
        <v xml:space="preserve">Декабрь </v>
      </c>
      <c r="AJ14" s="748"/>
      <c r="AK14" s="750" t="s">
        <v>316</v>
      </c>
      <c r="AL14" s="750"/>
    </row>
    <row r="15" spans="1:38" ht="26.25" thickBot="1" x14ac:dyDescent="0.25">
      <c r="A15" s="60" t="s">
        <v>9</v>
      </c>
      <c r="B15" s="61" t="s">
        <v>319</v>
      </c>
      <c r="C15" s="62" t="s">
        <v>244</v>
      </c>
      <c r="D15" s="61" t="s">
        <v>318</v>
      </c>
      <c r="E15" s="62" t="s">
        <v>246</v>
      </c>
      <c r="G15" s="171" t="s">
        <v>319</v>
      </c>
      <c r="H15" s="172" t="s">
        <v>318</v>
      </c>
      <c r="I15" s="172" t="s">
        <v>319</v>
      </c>
      <c r="J15" s="172" t="s">
        <v>318</v>
      </c>
      <c r="K15" s="172" t="s">
        <v>319</v>
      </c>
      <c r="L15" s="228" t="s">
        <v>318</v>
      </c>
      <c r="M15" s="210" t="s">
        <v>319</v>
      </c>
      <c r="N15" s="210" t="s">
        <v>318</v>
      </c>
      <c r="O15" s="171" t="s">
        <v>319</v>
      </c>
      <c r="P15" s="172" t="s">
        <v>318</v>
      </c>
      <c r="Q15" s="172" t="s">
        <v>319</v>
      </c>
      <c r="R15" s="172" t="s">
        <v>318</v>
      </c>
      <c r="S15" s="172" t="s">
        <v>319</v>
      </c>
      <c r="T15" s="228" t="s">
        <v>318</v>
      </c>
      <c r="U15" s="210" t="s">
        <v>319</v>
      </c>
      <c r="V15" s="210" t="s">
        <v>318</v>
      </c>
      <c r="W15" s="171" t="s">
        <v>319</v>
      </c>
      <c r="X15" s="172" t="s">
        <v>318</v>
      </c>
      <c r="Y15" s="172" t="s">
        <v>319</v>
      </c>
      <c r="Z15" s="172" t="s">
        <v>318</v>
      </c>
      <c r="AA15" s="172" t="s">
        <v>319</v>
      </c>
      <c r="AB15" s="228" t="s">
        <v>318</v>
      </c>
      <c r="AC15" s="210" t="s">
        <v>319</v>
      </c>
      <c r="AD15" s="210" t="s">
        <v>318</v>
      </c>
      <c r="AE15" s="171" t="s">
        <v>319</v>
      </c>
      <c r="AF15" s="172" t="s">
        <v>318</v>
      </c>
      <c r="AG15" s="172" t="s">
        <v>319</v>
      </c>
      <c r="AH15" s="172" t="s">
        <v>318</v>
      </c>
      <c r="AI15" s="172" t="s">
        <v>319</v>
      </c>
      <c r="AJ15" s="228" t="s">
        <v>318</v>
      </c>
      <c r="AK15" s="210" t="s">
        <v>319</v>
      </c>
      <c r="AL15" s="210" t="s">
        <v>318</v>
      </c>
    </row>
    <row r="16" spans="1:38" ht="13.5" thickBot="1" x14ac:dyDescent="0.25">
      <c r="A16" s="85" t="s">
        <v>101</v>
      </c>
      <c r="B16" s="72">
        <f>COUNTIF(РПЗ!$Q:$Q,Справочно!$C12)</f>
        <v>1</v>
      </c>
      <c r="C16" s="418">
        <f t="shared" ref="C16:C35" si="0">$B16/$B$13</f>
        <v>5.3763440860215058E-3</v>
      </c>
      <c r="D16" s="419">
        <f>SUMIF(РПЗ!$Q:$Q,Справочно!$C12,РПЗ!$L:$L)</f>
        <v>2000000</v>
      </c>
      <c r="E16" s="420">
        <f t="shared" ref="E16:E35" si="1">D16/$D$40</f>
        <v>4.9212011355205774E-3</v>
      </c>
      <c r="G16" s="181">
        <f>COUNTIFS(РПЗ!$Q:$Q,Справочно!$C12,РПЗ!$O:$O,ПП!$G$14)</f>
        <v>0</v>
      </c>
      <c r="H16" s="394">
        <f>SUMIFS(РПЗ!$L:$L,РПЗ!$Q:$Q,Справочно!$C12,РПЗ!$O:$O,$G$14)</f>
        <v>0</v>
      </c>
      <c r="I16" s="182">
        <f>COUNTIFS(РПЗ!$Q:$Q,Справочно!$C12,РПЗ!$O:$O,ПП!$I$14)</f>
        <v>0</v>
      </c>
      <c r="J16" s="394">
        <f>SUMIFS(РПЗ!$L:$L,РПЗ!$Q:$Q,Справочно!$C12,РПЗ!$O:$O,$I$14)</f>
        <v>0</v>
      </c>
      <c r="K16" s="182">
        <f>COUNTIFS(РПЗ!$Q:$Q,Справочно!$C12,РПЗ!$O:$O,ПП!$K$14)</f>
        <v>0</v>
      </c>
      <c r="L16" s="395">
        <f>SUMIFS(РПЗ!$L:$L,РПЗ!$Q:$Q,Справочно!$C12,РПЗ!$O:$O,$K$14)</f>
        <v>0</v>
      </c>
      <c r="M16" s="229">
        <f>SUM($G16,$I16,$K16)</f>
        <v>0</v>
      </c>
      <c r="N16" s="396">
        <f>SUM($H16,$J16,$L16)</f>
        <v>0</v>
      </c>
      <c r="O16" s="187">
        <f>COUNTIFS(РПЗ!$Q:$Q,Справочно!$C12,РПЗ!$O:$O,ПП!$O$14)</f>
        <v>0</v>
      </c>
      <c r="P16" s="397">
        <f>SUMIFS(РПЗ!$L:$L,РПЗ!$Q:$Q,Справочно!$C12,РПЗ!$O:$O,$O$14)</f>
        <v>0</v>
      </c>
      <c r="Q16" s="188">
        <f>COUNTIFS(РПЗ!$Q:$Q,Справочно!$C12,РПЗ!$O:$O,ПП!$Q$14)</f>
        <v>0</v>
      </c>
      <c r="R16" s="397">
        <f>SUMIFS(РПЗ!$L:$L,РПЗ!$Q:$Q,Справочно!$C12,РПЗ!$O:$O,$Q$14)</f>
        <v>0</v>
      </c>
      <c r="S16" s="188">
        <f>COUNTIFS(РПЗ!$Q:$Q,Справочно!$C12,РПЗ!$O:$O,ПП!$S$14)</f>
        <v>0</v>
      </c>
      <c r="T16" s="398">
        <f>SUMIFS(РПЗ!$L:$L,РПЗ!$Q:$Q,Справочно!$C12,РПЗ!$O:$O,$S$14)</f>
        <v>0</v>
      </c>
      <c r="U16" s="233">
        <f>SUM($O16,$Q16,$S16)</f>
        <v>0</v>
      </c>
      <c r="V16" s="399">
        <f>SUM($P16,$R16,$T16)</f>
        <v>0</v>
      </c>
      <c r="W16" s="178">
        <f>COUNTIFS(РПЗ!$Q:$Q,Справочно!$C12,РПЗ!$O:$O,ПП!$W$14)</f>
        <v>0</v>
      </c>
      <c r="X16" s="400">
        <f>SUMIFS(РПЗ!$L:$L,РПЗ!$Q:$Q,Справочно!$C12,РПЗ!$O:$O,$W$14)</f>
        <v>0</v>
      </c>
      <c r="Y16" s="179">
        <f>COUNTIFS(РПЗ!$Q:$Q,Справочно!$C12,РПЗ!$O:$O,ПП!$Y$14)</f>
        <v>0</v>
      </c>
      <c r="Z16" s="400">
        <f>SUMIFS(РПЗ!$L:$L,РПЗ!$Q:$Q,Справочно!$C12,РПЗ!$O:$O,$Y$14)</f>
        <v>0</v>
      </c>
      <c r="AA16" s="179">
        <f>COUNTIFS(РПЗ!$Q:$Q,Справочно!$C12,РПЗ!$O:$O,ПП!$AA$14)</f>
        <v>0</v>
      </c>
      <c r="AB16" s="401">
        <f>SUMIFS(РПЗ!$L:$L,РПЗ!$Q:$Q,Справочно!$C12,РПЗ!$O:$O,$AA$14)</f>
        <v>0</v>
      </c>
      <c r="AC16" s="234">
        <f>SUM($W16,$Y16,$AA16)</f>
        <v>0</v>
      </c>
      <c r="AD16" s="402">
        <f>SUM($X16,$Z16,$AB16)</f>
        <v>0</v>
      </c>
      <c r="AE16" s="190">
        <f>COUNTIFS(РПЗ!$Q:$Q,Справочно!$C12,РПЗ!$O:$O,ПП!$AE$14)</f>
        <v>0</v>
      </c>
      <c r="AF16" s="403">
        <f>SUMIFS(РПЗ!$L:$L,РПЗ!$Q:$Q,Справочно!$C12,РПЗ!$O:$O,$AE$14)</f>
        <v>0</v>
      </c>
      <c r="AG16" s="191">
        <f>COUNTIFS(РПЗ!$Q:$Q,Справочно!$C12,РПЗ!$O:$O,ПП!$AG$14)</f>
        <v>0</v>
      </c>
      <c r="AH16" s="403">
        <f>SUMIFS(РПЗ!$L:$L,РПЗ!$Q:$Q,Справочно!$C12,РПЗ!$O:$O,$AG$14)</f>
        <v>0</v>
      </c>
      <c r="AI16" s="191">
        <f>COUNTIFS(РПЗ!$Q:$Q,Справочно!$C12,РПЗ!$O:$O,ПП!$AI$14)</f>
        <v>0</v>
      </c>
      <c r="AJ16" s="404">
        <f>SUMIFS(РПЗ!$L:$L,РПЗ!$Q:$Q,Справочно!$C12,РПЗ!$O:$O,$AI$14)</f>
        <v>0</v>
      </c>
      <c r="AK16" s="238">
        <f>SUM($AE16,$AG16,$AI16)</f>
        <v>0</v>
      </c>
      <c r="AL16" s="405">
        <f>SUM($AF16,$AH16,$AJ16)</f>
        <v>0</v>
      </c>
    </row>
    <row r="17" spans="1:38" ht="13.5" thickBot="1" x14ac:dyDescent="0.25">
      <c r="A17" s="86" t="s">
        <v>251</v>
      </c>
      <c r="B17" s="72">
        <f>COUNTIF(РПЗ!$Q:$Q,Справочно!$C13)</f>
        <v>0</v>
      </c>
      <c r="C17" s="418">
        <f t="shared" si="0"/>
        <v>0</v>
      </c>
      <c r="D17" s="421">
        <f>SUMIF(РПЗ!$Q:$Q,Справочно!$C13,РПЗ!$L:$L)</f>
        <v>0</v>
      </c>
      <c r="E17" s="420">
        <f t="shared" si="1"/>
        <v>0</v>
      </c>
      <c r="G17" s="183">
        <f>COUNTIFS(РПЗ!$Q:$Q,Справочно!$C13,РПЗ!$O:$O,ПП!$G$14)</f>
        <v>0</v>
      </c>
      <c r="H17" s="406">
        <f>SUMIFS(РПЗ!$L:$L,РПЗ!$Q:$Q,Справочно!$C13,РПЗ!$O:$O,$G$14)</f>
        <v>0</v>
      </c>
      <c r="I17" s="184">
        <f>COUNTIFS(РПЗ!$Q:$Q,Справочно!$C13,РПЗ!$O:$O,ПП!$I$14)</f>
        <v>0</v>
      </c>
      <c r="J17" s="406">
        <f>SUMIFS(РПЗ!$L:$L,РПЗ!$Q:$Q,Справочно!$C13,РПЗ!$O:$O,$I$14)</f>
        <v>0</v>
      </c>
      <c r="K17" s="184">
        <f>COUNTIFS(РПЗ!$Q:$Q,Справочно!$C13,РПЗ!$O:$O,ПП!$K$14)</f>
        <v>0</v>
      </c>
      <c r="L17" s="407">
        <f>SUMIFS(РПЗ!$L:$L,РПЗ!$Q:$Q,Справочно!$C13,РПЗ!$O:$O,$K$14)</f>
        <v>0</v>
      </c>
      <c r="M17" s="229">
        <f t="shared" ref="M17:M35" si="2">SUM($G17,$I17,$K17)</f>
        <v>0</v>
      </c>
      <c r="N17" s="396">
        <f t="shared" ref="N17:N35" si="3">SUM($H17,$J17,$L17)</f>
        <v>0</v>
      </c>
      <c r="O17" s="187">
        <f>COUNTIFS(РПЗ!$Q:$Q,Справочно!$C13,РПЗ!$O:$O,ПП!$O$14)</f>
        <v>0</v>
      </c>
      <c r="P17" s="397">
        <f>SUMIFS(РПЗ!$L:$L,РПЗ!$Q:$Q,Справочно!$C13,РПЗ!$O:$O,$O$14)</f>
        <v>0</v>
      </c>
      <c r="Q17" s="188">
        <f>COUNTIFS(РПЗ!$Q:$Q,Справочно!$C13,РПЗ!$O:$O,ПП!$Q$14)</f>
        <v>0</v>
      </c>
      <c r="R17" s="397">
        <f>SUMIFS(РПЗ!$L:$L,РПЗ!$Q:$Q,Справочно!$C13,РПЗ!$O:$O,$Q$14)</f>
        <v>0</v>
      </c>
      <c r="S17" s="188">
        <f>COUNTIFS(РПЗ!$Q:$Q,Справочно!$C13,РПЗ!$O:$O,ПП!$S$14)</f>
        <v>0</v>
      </c>
      <c r="T17" s="398">
        <f>SUMIFS(РПЗ!$L:$L,РПЗ!$Q:$Q,Справочно!$C13,РПЗ!$O:$O,$S$14)</f>
        <v>0</v>
      </c>
      <c r="U17" s="233">
        <f t="shared" ref="U17:U35" si="4">SUM($O17,$Q17,$S17)</f>
        <v>0</v>
      </c>
      <c r="V17" s="399">
        <f t="shared" ref="V17:V35" si="5">SUM($P17,$R17,$T17)</f>
        <v>0</v>
      </c>
      <c r="W17" s="178">
        <f>COUNTIFS(РПЗ!$Q:$Q,Справочно!$C13,РПЗ!$O:$O,ПП!$W$14)</f>
        <v>0</v>
      </c>
      <c r="X17" s="400">
        <f>SUMIFS(РПЗ!$L:$L,РПЗ!$Q:$Q,Справочно!$C13,РПЗ!$O:$O,$W$14)</f>
        <v>0</v>
      </c>
      <c r="Y17" s="179">
        <f>COUNTIFS(РПЗ!$Q:$Q,Справочно!$C13,РПЗ!$O:$O,ПП!$Y$14)</f>
        <v>0</v>
      </c>
      <c r="Z17" s="400">
        <f>SUMIFS(РПЗ!$L:$L,РПЗ!$Q:$Q,Справочно!$C13,РПЗ!$O:$O,$Y$14)</f>
        <v>0</v>
      </c>
      <c r="AA17" s="179">
        <f>COUNTIFS(РПЗ!$Q:$Q,Справочно!$C13,РПЗ!$O:$O,ПП!$AA$14)</f>
        <v>0</v>
      </c>
      <c r="AB17" s="401">
        <f>SUMIFS(РПЗ!$L:$L,РПЗ!$Q:$Q,Справочно!$C13,РПЗ!$O:$O,$AA$14)</f>
        <v>0</v>
      </c>
      <c r="AC17" s="234">
        <f t="shared" ref="AC17:AC35" si="6">SUM($W17,$Y17,$AA17)</f>
        <v>0</v>
      </c>
      <c r="AD17" s="402">
        <f t="shared" ref="AD17:AD35" si="7">SUM($X17,$Z17,$AB17)</f>
        <v>0</v>
      </c>
      <c r="AE17" s="190">
        <f>COUNTIFS(РПЗ!$Q:$Q,Справочно!$C13,РПЗ!$O:$O,ПП!$AE$14)</f>
        <v>0</v>
      </c>
      <c r="AF17" s="403">
        <f>SUMIFS(РПЗ!$L:$L,РПЗ!$Q:$Q,Справочно!$C13,РПЗ!$O:$O,$AE$14)</f>
        <v>0</v>
      </c>
      <c r="AG17" s="191">
        <f>COUNTIFS(РПЗ!$Q:$Q,Справочно!$C13,РПЗ!$O:$O,ПП!$AG$14)</f>
        <v>0</v>
      </c>
      <c r="AH17" s="403">
        <f>SUMIFS(РПЗ!$L:$L,РПЗ!$Q:$Q,Справочно!$C13,РПЗ!$O:$O,$AG$14)</f>
        <v>0</v>
      </c>
      <c r="AI17" s="191">
        <f>COUNTIFS(РПЗ!$Q:$Q,Справочно!$C13,РПЗ!$O:$O,ПП!$AI$14)</f>
        <v>0</v>
      </c>
      <c r="AJ17" s="404">
        <f>SUMIFS(РПЗ!$L:$L,РПЗ!$Q:$Q,Справочно!$C13,РПЗ!$O:$O,$AI$14)</f>
        <v>0</v>
      </c>
      <c r="AK17" s="238">
        <f t="shared" ref="AK17:AK35" si="8">SUM($AE17,$AG17,$AI17)</f>
        <v>0</v>
      </c>
      <c r="AL17" s="405">
        <f t="shared" ref="AL17:AL35" si="9">SUM($AF17,$AH17,$AJ17)</f>
        <v>0</v>
      </c>
    </row>
    <row r="18" spans="1:38" ht="12.75" customHeight="1" thickBot="1" x14ac:dyDescent="0.25">
      <c r="A18" s="86" t="s">
        <v>103</v>
      </c>
      <c r="B18" s="356">
        <f>COUNTIF(РПЗ!$Q:$Q,Справочно!$C14)</f>
        <v>0</v>
      </c>
      <c r="C18" s="418">
        <f t="shared" si="0"/>
        <v>0</v>
      </c>
      <c r="D18" s="421">
        <f>SUMIF(РПЗ!$Q:$Q,Справочно!$C14,РПЗ!$L:$L)</f>
        <v>0</v>
      </c>
      <c r="E18" s="420">
        <f t="shared" si="1"/>
        <v>0</v>
      </c>
      <c r="G18" s="183">
        <f>COUNTIFS(РПЗ!$Q:$Q,Справочно!$C14,РПЗ!$O:$O,ПП!$G$14)</f>
        <v>0</v>
      </c>
      <c r="H18" s="406">
        <f>SUMIFS(РПЗ!$L:$L,РПЗ!$Q:$Q,Справочно!$C14,РПЗ!$O:$O,$G$14)</f>
        <v>0</v>
      </c>
      <c r="I18" s="184">
        <f>COUNTIFS(РПЗ!$Q:$Q,Справочно!$C14,РПЗ!$O:$O,ПП!$I$14)</f>
        <v>0</v>
      </c>
      <c r="J18" s="406">
        <f>SUMIFS(РПЗ!$L:$L,РПЗ!$Q:$Q,Справочно!$C14,РПЗ!$O:$O,$I$14)</f>
        <v>0</v>
      </c>
      <c r="K18" s="184">
        <f>COUNTIFS(РПЗ!$Q:$Q,Справочно!$C14,РПЗ!$O:$O,ПП!$K$14)</f>
        <v>0</v>
      </c>
      <c r="L18" s="407">
        <f>SUMIFS(РПЗ!$L:$L,РПЗ!$Q:$Q,Справочно!$C14,РПЗ!$O:$O,$K$14)</f>
        <v>0</v>
      </c>
      <c r="M18" s="229">
        <f t="shared" si="2"/>
        <v>0</v>
      </c>
      <c r="N18" s="396">
        <f t="shared" si="3"/>
        <v>0</v>
      </c>
      <c r="O18" s="187">
        <f>COUNTIFS(РПЗ!$Q:$Q,Справочно!$C14,РПЗ!$O:$O,ПП!$O$14)</f>
        <v>0</v>
      </c>
      <c r="P18" s="397">
        <f>SUMIFS(РПЗ!$L:$L,РПЗ!$Q:$Q,Справочно!$C14,РПЗ!$O:$O,$O$14)</f>
        <v>0</v>
      </c>
      <c r="Q18" s="188">
        <f>COUNTIFS(РПЗ!$Q:$Q,Справочно!$C14,РПЗ!$O:$O,ПП!$Q$14)</f>
        <v>0</v>
      </c>
      <c r="R18" s="397">
        <f>SUMIFS(РПЗ!$L:$L,РПЗ!$Q:$Q,Справочно!$C14,РПЗ!$O:$O,$Q$14)</f>
        <v>0</v>
      </c>
      <c r="S18" s="188">
        <f>COUNTIFS(РПЗ!$Q:$Q,Справочно!$C14,РПЗ!$O:$O,ПП!$S$14)</f>
        <v>0</v>
      </c>
      <c r="T18" s="398">
        <f>SUMIFS(РПЗ!$L:$L,РПЗ!$Q:$Q,Справочно!$C14,РПЗ!$O:$O,$S$14)</f>
        <v>0</v>
      </c>
      <c r="U18" s="233">
        <f t="shared" si="4"/>
        <v>0</v>
      </c>
      <c r="V18" s="399">
        <f t="shared" si="5"/>
        <v>0</v>
      </c>
      <c r="W18" s="178">
        <f>COUNTIFS(РПЗ!$Q:$Q,Справочно!$C14,РПЗ!$O:$O,ПП!$W$14)</f>
        <v>0</v>
      </c>
      <c r="X18" s="400">
        <f>SUMIFS(РПЗ!$L:$L,РПЗ!$Q:$Q,Справочно!$C14,РПЗ!$O:$O,$W$14)</f>
        <v>0</v>
      </c>
      <c r="Y18" s="179">
        <f>COUNTIFS(РПЗ!$Q:$Q,Справочно!$C14,РПЗ!$O:$O,ПП!$Y$14)</f>
        <v>0</v>
      </c>
      <c r="Z18" s="400">
        <f>SUMIFS(РПЗ!$L:$L,РПЗ!$Q:$Q,Справочно!$C14,РПЗ!$O:$O,$Y$14)</f>
        <v>0</v>
      </c>
      <c r="AA18" s="179">
        <f>COUNTIFS(РПЗ!$Q:$Q,Справочно!$C14,РПЗ!$O:$O,ПП!$AA$14)</f>
        <v>0</v>
      </c>
      <c r="AB18" s="401">
        <f>SUMIFS(РПЗ!$L:$L,РПЗ!$Q:$Q,Справочно!$C14,РПЗ!$O:$O,$AA$14)</f>
        <v>0</v>
      </c>
      <c r="AC18" s="234">
        <f t="shared" si="6"/>
        <v>0</v>
      </c>
      <c r="AD18" s="402">
        <f t="shared" si="7"/>
        <v>0</v>
      </c>
      <c r="AE18" s="190">
        <f>COUNTIFS(РПЗ!$Q:$Q,Справочно!$C14,РПЗ!$O:$O,ПП!$AE$14)</f>
        <v>0</v>
      </c>
      <c r="AF18" s="403">
        <f>SUMIFS(РПЗ!$L:$L,РПЗ!$Q:$Q,Справочно!$C14,РПЗ!$O:$O,$AE$14)</f>
        <v>0</v>
      </c>
      <c r="AG18" s="191">
        <f>COUNTIFS(РПЗ!$Q:$Q,Справочно!$C14,РПЗ!$O:$O,ПП!$AG$14)</f>
        <v>0</v>
      </c>
      <c r="AH18" s="403">
        <f>SUMIFS(РПЗ!$L:$L,РПЗ!$Q:$Q,Справочно!$C14,РПЗ!$O:$O,$AG$14)</f>
        <v>0</v>
      </c>
      <c r="AI18" s="191">
        <f>COUNTIFS(РПЗ!$Q:$Q,Справочно!$C14,РПЗ!$O:$O,ПП!$AI$14)</f>
        <v>0</v>
      </c>
      <c r="AJ18" s="404">
        <f>SUMIFS(РПЗ!$L:$L,РПЗ!$Q:$Q,Справочно!$C14,РПЗ!$O:$O,$AI$14)</f>
        <v>0</v>
      </c>
      <c r="AK18" s="238">
        <f t="shared" si="8"/>
        <v>0</v>
      </c>
      <c r="AL18" s="405">
        <f t="shared" si="9"/>
        <v>0</v>
      </c>
    </row>
    <row r="19" spans="1:38" ht="13.5" thickBot="1" x14ac:dyDescent="0.25">
      <c r="A19" s="86" t="s">
        <v>252</v>
      </c>
      <c r="B19" s="356">
        <f>COUNTIF(РПЗ!$Q:$Q,Справочно!$C15)</f>
        <v>0</v>
      </c>
      <c r="C19" s="418">
        <f t="shared" si="0"/>
        <v>0</v>
      </c>
      <c r="D19" s="421">
        <f>SUMIF(РПЗ!$Q:$Q,Справочно!$C15,РПЗ!$L:$L)</f>
        <v>0</v>
      </c>
      <c r="E19" s="420">
        <f t="shared" si="1"/>
        <v>0</v>
      </c>
      <c r="G19" s="183">
        <f>COUNTIFS(РПЗ!$Q:$Q,Справочно!$C15,РПЗ!$O:$O,ПП!$G$14)</f>
        <v>0</v>
      </c>
      <c r="H19" s="406">
        <f>SUMIFS(РПЗ!$L:$L,РПЗ!$Q:$Q,Справочно!$C15,РПЗ!$O:$O,$G$14)</f>
        <v>0</v>
      </c>
      <c r="I19" s="184">
        <f>COUNTIFS(РПЗ!$Q:$Q,Справочно!$C15,РПЗ!$O:$O,ПП!$I$14)</f>
        <v>0</v>
      </c>
      <c r="J19" s="406">
        <f>SUMIFS(РПЗ!$L:$L,РПЗ!$Q:$Q,Справочно!$C15,РПЗ!$O:$O,$I$14)</f>
        <v>0</v>
      </c>
      <c r="K19" s="184">
        <f>COUNTIFS(РПЗ!$Q:$Q,Справочно!$C15,РПЗ!$O:$O,ПП!$K$14)</f>
        <v>0</v>
      </c>
      <c r="L19" s="407">
        <f>SUMIFS(РПЗ!$L:$L,РПЗ!$Q:$Q,Справочно!$C15,РПЗ!$O:$O,$K$14)</f>
        <v>0</v>
      </c>
      <c r="M19" s="229">
        <f t="shared" si="2"/>
        <v>0</v>
      </c>
      <c r="N19" s="396">
        <f t="shared" si="3"/>
        <v>0</v>
      </c>
      <c r="O19" s="187">
        <f>COUNTIFS(РПЗ!$Q:$Q,Справочно!$C15,РПЗ!$O:$O,ПП!$O$14)</f>
        <v>0</v>
      </c>
      <c r="P19" s="397">
        <f>SUMIFS(РПЗ!$L:$L,РПЗ!$Q:$Q,Справочно!$C15,РПЗ!$O:$O,$O$14)</f>
        <v>0</v>
      </c>
      <c r="Q19" s="188">
        <f>COUNTIFS(РПЗ!$Q:$Q,Справочно!$C15,РПЗ!$O:$O,ПП!$Q$14)</f>
        <v>0</v>
      </c>
      <c r="R19" s="397">
        <f>SUMIFS(РПЗ!$L:$L,РПЗ!$Q:$Q,Справочно!$C15,РПЗ!$O:$O,$Q$14)</f>
        <v>0</v>
      </c>
      <c r="S19" s="188">
        <f>COUNTIFS(РПЗ!$Q:$Q,Справочно!$C15,РПЗ!$O:$O,ПП!$S$14)</f>
        <v>0</v>
      </c>
      <c r="T19" s="398">
        <f>SUMIFS(РПЗ!$L:$L,РПЗ!$Q:$Q,Справочно!$C15,РПЗ!$O:$O,$S$14)</f>
        <v>0</v>
      </c>
      <c r="U19" s="233">
        <f t="shared" si="4"/>
        <v>0</v>
      </c>
      <c r="V19" s="399">
        <f t="shared" si="5"/>
        <v>0</v>
      </c>
      <c r="W19" s="178">
        <f>COUNTIFS(РПЗ!$Q:$Q,Справочно!$C15,РПЗ!$O:$O,ПП!$W$14)</f>
        <v>0</v>
      </c>
      <c r="X19" s="400">
        <f>SUMIFS(РПЗ!$L:$L,РПЗ!$Q:$Q,Справочно!$C15,РПЗ!$O:$O,$W$14)</f>
        <v>0</v>
      </c>
      <c r="Y19" s="179">
        <f>COUNTIFS(РПЗ!$Q:$Q,Справочно!$C15,РПЗ!$O:$O,ПП!$Y$14)</f>
        <v>0</v>
      </c>
      <c r="Z19" s="400">
        <f>SUMIFS(РПЗ!$L:$L,РПЗ!$Q:$Q,Справочно!$C15,РПЗ!$O:$O,$Y$14)</f>
        <v>0</v>
      </c>
      <c r="AA19" s="179">
        <f>COUNTIFS(РПЗ!$Q:$Q,Справочно!$C15,РПЗ!$O:$O,ПП!$AA$14)</f>
        <v>0</v>
      </c>
      <c r="AB19" s="401">
        <f>SUMIFS(РПЗ!$L:$L,РПЗ!$Q:$Q,Справочно!$C15,РПЗ!$O:$O,$AA$14)</f>
        <v>0</v>
      </c>
      <c r="AC19" s="234">
        <f t="shared" si="6"/>
        <v>0</v>
      </c>
      <c r="AD19" s="402">
        <f t="shared" si="7"/>
        <v>0</v>
      </c>
      <c r="AE19" s="190">
        <f>COUNTIFS(РПЗ!$Q:$Q,Справочно!$C15,РПЗ!$O:$O,ПП!$AE$14)</f>
        <v>0</v>
      </c>
      <c r="AF19" s="403">
        <f>SUMIFS(РПЗ!$L:$L,РПЗ!$Q:$Q,Справочно!$C15,РПЗ!$O:$O,$AE$14)</f>
        <v>0</v>
      </c>
      <c r="AG19" s="191">
        <f>COUNTIFS(РПЗ!$Q:$Q,Справочно!$C15,РПЗ!$O:$O,ПП!$AG$14)</f>
        <v>0</v>
      </c>
      <c r="AH19" s="403">
        <f>SUMIFS(РПЗ!$L:$L,РПЗ!$Q:$Q,Справочно!$C15,РПЗ!$O:$O,$AG$14)</f>
        <v>0</v>
      </c>
      <c r="AI19" s="191">
        <f>COUNTIFS(РПЗ!$Q:$Q,Справочно!$C15,РПЗ!$O:$O,ПП!$AI$14)</f>
        <v>0</v>
      </c>
      <c r="AJ19" s="404">
        <f>SUMIFS(РПЗ!$L:$L,РПЗ!$Q:$Q,Справочно!$C15,РПЗ!$O:$O,$AI$14)</f>
        <v>0</v>
      </c>
      <c r="AK19" s="238">
        <f t="shared" si="8"/>
        <v>0</v>
      </c>
      <c r="AL19" s="405">
        <f t="shared" si="9"/>
        <v>0</v>
      </c>
    </row>
    <row r="20" spans="1:38" ht="13.5" thickBot="1" x14ac:dyDescent="0.25">
      <c r="A20" s="86" t="s">
        <v>105</v>
      </c>
      <c r="B20" s="356">
        <f>COUNTIF(РПЗ!$Q:$Q,Справочно!$C16)</f>
        <v>9</v>
      </c>
      <c r="C20" s="418">
        <f t="shared" si="0"/>
        <v>4.8387096774193547E-2</v>
      </c>
      <c r="D20" s="421">
        <f>SUMIF(РПЗ!$Q:$Q,Справочно!$C16,РПЗ!$L:$L)</f>
        <v>107727280.54000001</v>
      </c>
      <c r="E20" s="420">
        <f t="shared" si="1"/>
        <v>0.26507380765999594</v>
      </c>
      <c r="G20" s="183">
        <f>COUNTIFS(РПЗ!$Q:$Q,Справочно!$C16,РПЗ!$O:$O,ПП!$G$14)</f>
        <v>0</v>
      </c>
      <c r="H20" s="406">
        <f>SUMIFS(РПЗ!$L:$L,РПЗ!$Q:$Q,Справочно!$C16,РПЗ!$O:$O,$G$14)</f>
        <v>0</v>
      </c>
      <c r="I20" s="184">
        <f>COUNTIFS(РПЗ!$Q:$Q,Справочно!$C16,РПЗ!$O:$O,ПП!$I$14)</f>
        <v>0</v>
      </c>
      <c r="J20" s="406">
        <f>SUMIFS(РПЗ!$L:$L,РПЗ!$Q:$Q,Справочно!$C16,РПЗ!$O:$O,$I$14)</f>
        <v>0</v>
      </c>
      <c r="K20" s="184">
        <f>COUNTIFS(РПЗ!$Q:$Q,Справочно!$C16,РПЗ!$O:$O,ПП!$K$14)</f>
        <v>0</v>
      </c>
      <c r="L20" s="407">
        <f>SUMIFS(РПЗ!$L:$L,РПЗ!$Q:$Q,Справочно!$C16,РПЗ!$O:$O,$K$14)</f>
        <v>0</v>
      </c>
      <c r="M20" s="229">
        <f t="shared" si="2"/>
        <v>0</v>
      </c>
      <c r="N20" s="396">
        <f t="shared" si="3"/>
        <v>0</v>
      </c>
      <c r="O20" s="187">
        <f>COUNTIFS(РПЗ!$Q:$Q,Справочно!$C16,РПЗ!$O:$O,ПП!$O$14)</f>
        <v>0</v>
      </c>
      <c r="P20" s="397">
        <f>SUMIFS(РПЗ!$L:$L,РПЗ!$Q:$Q,Справочно!$C16,РПЗ!$O:$O,$O$14)</f>
        <v>0</v>
      </c>
      <c r="Q20" s="188">
        <f>COUNTIFS(РПЗ!$Q:$Q,Справочно!$C16,РПЗ!$O:$O,ПП!$Q$14)</f>
        <v>0</v>
      </c>
      <c r="R20" s="397">
        <f>SUMIFS(РПЗ!$L:$L,РПЗ!$Q:$Q,Справочно!$C16,РПЗ!$O:$O,$Q$14)</f>
        <v>0</v>
      </c>
      <c r="S20" s="188">
        <f>COUNTIFS(РПЗ!$Q:$Q,Справочно!$C16,РПЗ!$O:$O,ПП!$S$14)</f>
        <v>0</v>
      </c>
      <c r="T20" s="398">
        <f>SUMIFS(РПЗ!$L:$L,РПЗ!$Q:$Q,Справочно!$C16,РПЗ!$O:$O,$S$14)</f>
        <v>0</v>
      </c>
      <c r="U20" s="233">
        <f t="shared" si="4"/>
        <v>0</v>
      </c>
      <c r="V20" s="399">
        <f t="shared" si="5"/>
        <v>0</v>
      </c>
      <c r="W20" s="178">
        <f>COUNTIFS(РПЗ!$Q:$Q,Справочно!$C16,РПЗ!$O:$O,ПП!$W$14)</f>
        <v>0</v>
      </c>
      <c r="X20" s="400">
        <f>SUMIFS(РПЗ!$L:$L,РПЗ!$Q:$Q,Справочно!$C16,РПЗ!$O:$O,$W$14)</f>
        <v>0</v>
      </c>
      <c r="Y20" s="179">
        <f>COUNTIFS(РПЗ!$Q:$Q,Справочно!$C16,РПЗ!$O:$O,ПП!$Y$14)</f>
        <v>0</v>
      </c>
      <c r="Z20" s="400">
        <f>SUMIFS(РПЗ!$L:$L,РПЗ!$Q:$Q,Справочно!$C16,РПЗ!$O:$O,$Y$14)</f>
        <v>0</v>
      </c>
      <c r="AA20" s="179">
        <f>COUNTIFS(РПЗ!$Q:$Q,Справочно!$C16,РПЗ!$O:$O,ПП!$AA$14)</f>
        <v>0</v>
      </c>
      <c r="AB20" s="401">
        <f>SUMIFS(РПЗ!$L:$L,РПЗ!$Q:$Q,Справочно!$C16,РПЗ!$O:$O,$AA$14)</f>
        <v>0</v>
      </c>
      <c r="AC20" s="234">
        <f t="shared" si="6"/>
        <v>0</v>
      </c>
      <c r="AD20" s="402">
        <f t="shared" si="7"/>
        <v>0</v>
      </c>
      <c r="AE20" s="190">
        <f>COUNTIFS(РПЗ!$Q:$Q,Справочно!$C16,РПЗ!$O:$O,ПП!$AE$14)</f>
        <v>0</v>
      </c>
      <c r="AF20" s="403">
        <f>SUMIFS(РПЗ!$L:$L,РПЗ!$Q:$Q,Справочно!$C16,РПЗ!$O:$O,$AE$14)</f>
        <v>0</v>
      </c>
      <c r="AG20" s="191">
        <f>COUNTIFS(РПЗ!$Q:$Q,Справочно!$C16,РПЗ!$O:$O,ПП!$AG$14)</f>
        <v>0</v>
      </c>
      <c r="AH20" s="403">
        <f>SUMIFS(РПЗ!$L:$L,РПЗ!$Q:$Q,Справочно!$C16,РПЗ!$O:$O,$AG$14)</f>
        <v>0</v>
      </c>
      <c r="AI20" s="191">
        <f>COUNTIFS(РПЗ!$Q:$Q,Справочно!$C16,РПЗ!$O:$O,ПП!$AI$14)</f>
        <v>0</v>
      </c>
      <c r="AJ20" s="404">
        <f>SUMIFS(РПЗ!$L:$L,РПЗ!$Q:$Q,Справочно!$C16,РПЗ!$O:$O,$AI$14)</f>
        <v>0</v>
      </c>
      <c r="AK20" s="238">
        <f t="shared" si="8"/>
        <v>0</v>
      </c>
      <c r="AL20" s="405">
        <f t="shared" si="9"/>
        <v>0</v>
      </c>
    </row>
    <row r="21" spans="1:38" ht="13.5" thickBot="1" x14ac:dyDescent="0.25">
      <c r="A21" s="86" t="s">
        <v>253</v>
      </c>
      <c r="B21" s="356">
        <f>COUNTIF(РПЗ!$Q:$Q,Справочно!$C17)</f>
        <v>0</v>
      </c>
      <c r="C21" s="418">
        <f t="shared" si="0"/>
        <v>0</v>
      </c>
      <c r="D21" s="421">
        <f>SUMIF(РПЗ!$Q:$Q,Справочно!$C17,РПЗ!$L:$L)</f>
        <v>0</v>
      </c>
      <c r="E21" s="420">
        <f t="shared" si="1"/>
        <v>0</v>
      </c>
      <c r="G21" s="183">
        <f>COUNTIFS(РПЗ!$Q:$Q,Справочно!$C17,РПЗ!$O:$O,ПП!$G$14)</f>
        <v>0</v>
      </c>
      <c r="H21" s="406">
        <f>SUMIFS(РПЗ!$L:$L,РПЗ!$Q:$Q,Справочно!$C17,РПЗ!$O:$O,$G$14)</f>
        <v>0</v>
      </c>
      <c r="I21" s="184">
        <f>COUNTIFS(РПЗ!$Q:$Q,Справочно!$C17,РПЗ!$O:$O,ПП!$I$14)</f>
        <v>0</v>
      </c>
      <c r="J21" s="406">
        <f>SUMIFS(РПЗ!$L:$L,РПЗ!$Q:$Q,Справочно!$C17,РПЗ!$O:$O,$I$14)</f>
        <v>0</v>
      </c>
      <c r="K21" s="184">
        <f>COUNTIFS(РПЗ!$Q:$Q,Справочно!$C17,РПЗ!$O:$O,ПП!$K$14)</f>
        <v>0</v>
      </c>
      <c r="L21" s="407">
        <f>SUMIFS(РПЗ!$L:$L,РПЗ!$Q:$Q,Справочно!$C17,РПЗ!$O:$O,$K$14)</f>
        <v>0</v>
      </c>
      <c r="M21" s="229">
        <f t="shared" si="2"/>
        <v>0</v>
      </c>
      <c r="N21" s="396">
        <f t="shared" si="3"/>
        <v>0</v>
      </c>
      <c r="O21" s="187">
        <f>COUNTIFS(РПЗ!$Q:$Q,Справочно!$C17,РПЗ!$O:$O,ПП!$O$14)</f>
        <v>0</v>
      </c>
      <c r="P21" s="397">
        <f>SUMIFS(РПЗ!$L:$L,РПЗ!$Q:$Q,Справочно!$C17,РПЗ!$O:$O,$O$14)</f>
        <v>0</v>
      </c>
      <c r="Q21" s="188">
        <f>COUNTIFS(РПЗ!$Q:$Q,Справочно!$C17,РПЗ!$O:$O,ПП!$Q$14)</f>
        <v>0</v>
      </c>
      <c r="R21" s="397">
        <f>SUMIFS(РПЗ!$L:$L,РПЗ!$Q:$Q,Справочно!$C17,РПЗ!$O:$O,$Q$14)</f>
        <v>0</v>
      </c>
      <c r="S21" s="188">
        <f>COUNTIFS(РПЗ!$Q:$Q,Справочно!$C17,РПЗ!$O:$O,ПП!$S$14)</f>
        <v>0</v>
      </c>
      <c r="T21" s="398">
        <f>SUMIFS(РПЗ!$L:$L,РПЗ!$Q:$Q,Справочно!$C17,РПЗ!$O:$O,$S$14)</f>
        <v>0</v>
      </c>
      <c r="U21" s="233">
        <f t="shared" si="4"/>
        <v>0</v>
      </c>
      <c r="V21" s="399">
        <f t="shared" si="5"/>
        <v>0</v>
      </c>
      <c r="W21" s="178">
        <f>COUNTIFS(РПЗ!$Q:$Q,Справочно!$C17,РПЗ!$O:$O,ПП!$W$14)</f>
        <v>0</v>
      </c>
      <c r="X21" s="400">
        <f>SUMIFS(РПЗ!$L:$L,РПЗ!$Q:$Q,Справочно!$C17,РПЗ!$O:$O,$W$14)</f>
        <v>0</v>
      </c>
      <c r="Y21" s="179">
        <f>COUNTIFS(РПЗ!$Q:$Q,Справочно!$C17,РПЗ!$O:$O,ПП!$Y$14)</f>
        <v>0</v>
      </c>
      <c r="Z21" s="400">
        <f>SUMIFS(РПЗ!$L:$L,РПЗ!$Q:$Q,Справочно!$C17,РПЗ!$O:$O,$Y$14)</f>
        <v>0</v>
      </c>
      <c r="AA21" s="179">
        <f>COUNTIFS(РПЗ!$Q:$Q,Справочно!$C17,РПЗ!$O:$O,ПП!$AA$14)</f>
        <v>0</v>
      </c>
      <c r="AB21" s="401">
        <f>SUMIFS(РПЗ!$L:$L,РПЗ!$Q:$Q,Справочно!$C17,РПЗ!$O:$O,$AA$14)</f>
        <v>0</v>
      </c>
      <c r="AC21" s="234">
        <f t="shared" si="6"/>
        <v>0</v>
      </c>
      <c r="AD21" s="402">
        <f t="shared" si="7"/>
        <v>0</v>
      </c>
      <c r="AE21" s="190">
        <f>COUNTIFS(РПЗ!$Q:$Q,Справочно!$C17,РПЗ!$O:$O,ПП!$AE$14)</f>
        <v>0</v>
      </c>
      <c r="AF21" s="403">
        <f>SUMIFS(РПЗ!$L:$L,РПЗ!$Q:$Q,Справочно!$C17,РПЗ!$O:$O,$AE$14)</f>
        <v>0</v>
      </c>
      <c r="AG21" s="191">
        <f>COUNTIFS(РПЗ!$Q:$Q,Справочно!$C17,РПЗ!$O:$O,ПП!$AG$14)</f>
        <v>0</v>
      </c>
      <c r="AH21" s="403">
        <f>SUMIFS(РПЗ!$L:$L,РПЗ!$Q:$Q,Справочно!$C17,РПЗ!$O:$O,$AG$14)</f>
        <v>0</v>
      </c>
      <c r="AI21" s="191">
        <f>COUNTIFS(РПЗ!$Q:$Q,Справочно!$C17,РПЗ!$O:$O,ПП!$AI$14)</f>
        <v>0</v>
      </c>
      <c r="AJ21" s="404">
        <f>SUMIFS(РПЗ!$L:$L,РПЗ!$Q:$Q,Справочно!$C17,РПЗ!$O:$O,$AI$14)</f>
        <v>0</v>
      </c>
      <c r="AK21" s="238">
        <f t="shared" si="8"/>
        <v>0</v>
      </c>
      <c r="AL21" s="405">
        <f t="shared" si="9"/>
        <v>0</v>
      </c>
    </row>
    <row r="22" spans="1:38" ht="13.5" thickBot="1" x14ac:dyDescent="0.25">
      <c r="A22" s="86" t="s">
        <v>107</v>
      </c>
      <c r="B22" s="356">
        <f>COUNTIF(РПЗ!$Q:$Q,Справочно!$C18)</f>
        <v>14</v>
      </c>
      <c r="C22" s="418">
        <f t="shared" si="0"/>
        <v>7.5268817204301078E-2</v>
      </c>
      <c r="D22" s="421">
        <f>SUMIF(РПЗ!$Q:$Q,Справочно!$C18,РПЗ!$L:$L)</f>
        <v>14803600</v>
      </c>
      <c r="E22" s="420">
        <f t="shared" si="1"/>
        <v>3.6425746564896215E-2</v>
      </c>
      <c r="G22" s="183">
        <f>COUNTIFS(РПЗ!$Q:$Q,Справочно!$C18,РПЗ!$O:$O,ПП!$G$14)</f>
        <v>0</v>
      </c>
      <c r="H22" s="406">
        <f>SUMIFS(РПЗ!$L:$L,РПЗ!$Q:$Q,Справочно!$C18,РПЗ!$O:$O,$G$14)</f>
        <v>0</v>
      </c>
      <c r="I22" s="184">
        <f>COUNTIFS(РПЗ!$Q:$Q,Справочно!$C18,РПЗ!$O:$O,ПП!$I$14)</f>
        <v>0</v>
      </c>
      <c r="J22" s="406">
        <f>SUMIFS(РПЗ!$L:$L,РПЗ!$Q:$Q,Справочно!$C18,РПЗ!$O:$O,$I$14)</f>
        <v>0</v>
      </c>
      <c r="K22" s="184">
        <f>COUNTIFS(РПЗ!$Q:$Q,Справочно!$C18,РПЗ!$O:$O,ПП!$K$14)</f>
        <v>0</v>
      </c>
      <c r="L22" s="407">
        <f>SUMIFS(РПЗ!$L:$L,РПЗ!$Q:$Q,Справочно!$C18,РПЗ!$O:$O,$K$14)</f>
        <v>0</v>
      </c>
      <c r="M22" s="229">
        <f t="shared" si="2"/>
        <v>0</v>
      </c>
      <c r="N22" s="396">
        <f t="shared" si="3"/>
        <v>0</v>
      </c>
      <c r="O22" s="187">
        <f>COUNTIFS(РПЗ!$Q:$Q,Справочно!$C18,РПЗ!$O:$O,ПП!$O$14)</f>
        <v>0</v>
      </c>
      <c r="P22" s="397">
        <f>SUMIFS(РПЗ!$L:$L,РПЗ!$Q:$Q,Справочно!$C18,РПЗ!$O:$O,$O$14)</f>
        <v>0</v>
      </c>
      <c r="Q22" s="188">
        <f>COUNTIFS(РПЗ!$Q:$Q,Справочно!$C18,РПЗ!$O:$O,ПП!$Q$14)</f>
        <v>0</v>
      </c>
      <c r="R22" s="397">
        <f>SUMIFS(РПЗ!$L:$L,РПЗ!$Q:$Q,Справочно!$C18,РПЗ!$O:$O,$Q$14)</f>
        <v>0</v>
      </c>
      <c r="S22" s="188">
        <f>COUNTIFS(РПЗ!$Q:$Q,Справочно!$C18,РПЗ!$O:$O,ПП!$S$14)</f>
        <v>0</v>
      </c>
      <c r="T22" s="398">
        <f>SUMIFS(РПЗ!$L:$L,РПЗ!$Q:$Q,Справочно!$C18,РПЗ!$O:$O,$S$14)</f>
        <v>0</v>
      </c>
      <c r="U22" s="233">
        <f t="shared" si="4"/>
        <v>0</v>
      </c>
      <c r="V22" s="399">
        <f t="shared" si="5"/>
        <v>0</v>
      </c>
      <c r="W22" s="178">
        <f>COUNTIFS(РПЗ!$Q:$Q,Справочно!$C18,РПЗ!$O:$O,ПП!$W$14)</f>
        <v>0</v>
      </c>
      <c r="X22" s="400">
        <f>SUMIFS(РПЗ!$L:$L,РПЗ!$Q:$Q,Справочно!$C18,РПЗ!$O:$O,$W$14)</f>
        <v>0</v>
      </c>
      <c r="Y22" s="179">
        <f>COUNTIFS(РПЗ!$Q:$Q,Справочно!$C18,РПЗ!$O:$O,ПП!$Y$14)</f>
        <v>0</v>
      </c>
      <c r="Z22" s="400">
        <f>SUMIFS(РПЗ!$L:$L,РПЗ!$Q:$Q,Справочно!$C18,РПЗ!$O:$O,$Y$14)</f>
        <v>0</v>
      </c>
      <c r="AA22" s="179">
        <f>COUNTIFS(РПЗ!$Q:$Q,Справочно!$C18,РПЗ!$O:$O,ПП!$AA$14)</f>
        <v>0</v>
      </c>
      <c r="AB22" s="401">
        <f>SUMIFS(РПЗ!$L:$L,РПЗ!$Q:$Q,Справочно!$C18,РПЗ!$O:$O,$AA$14)</f>
        <v>0</v>
      </c>
      <c r="AC22" s="234">
        <f t="shared" si="6"/>
        <v>0</v>
      </c>
      <c r="AD22" s="402">
        <f t="shared" si="7"/>
        <v>0</v>
      </c>
      <c r="AE22" s="190">
        <f>COUNTIFS(РПЗ!$Q:$Q,Справочно!$C18,РПЗ!$O:$O,ПП!$AE$14)</f>
        <v>0</v>
      </c>
      <c r="AF22" s="403">
        <f>SUMIFS(РПЗ!$L:$L,РПЗ!$Q:$Q,Справочно!$C18,РПЗ!$O:$O,$AE$14)</f>
        <v>0</v>
      </c>
      <c r="AG22" s="191">
        <f>COUNTIFS(РПЗ!$Q:$Q,Справочно!$C18,РПЗ!$O:$O,ПП!$AG$14)</f>
        <v>0</v>
      </c>
      <c r="AH22" s="403">
        <f>SUMIFS(РПЗ!$L:$L,РПЗ!$Q:$Q,Справочно!$C18,РПЗ!$O:$O,$AG$14)</f>
        <v>0</v>
      </c>
      <c r="AI22" s="191">
        <f>COUNTIFS(РПЗ!$Q:$Q,Справочно!$C18,РПЗ!$O:$O,ПП!$AI$14)</f>
        <v>0</v>
      </c>
      <c r="AJ22" s="404">
        <f>SUMIFS(РПЗ!$L:$L,РПЗ!$Q:$Q,Справочно!$C18,РПЗ!$O:$O,$AI$14)</f>
        <v>0</v>
      </c>
      <c r="AK22" s="238">
        <f t="shared" si="8"/>
        <v>0</v>
      </c>
      <c r="AL22" s="405">
        <f t="shared" si="9"/>
        <v>0</v>
      </c>
    </row>
    <row r="23" spans="1:38" ht="13.5" thickBot="1" x14ac:dyDescent="0.25">
      <c r="A23" s="86" t="s">
        <v>254</v>
      </c>
      <c r="B23" s="356">
        <f>COUNTIF(РПЗ!$Q:$Q,Справочно!$C19)</f>
        <v>0</v>
      </c>
      <c r="C23" s="418">
        <f t="shared" si="0"/>
        <v>0</v>
      </c>
      <c r="D23" s="421">
        <f>SUMIF(РПЗ!$Q:$Q,Справочно!$C19,РПЗ!$L:$L)</f>
        <v>0</v>
      </c>
      <c r="E23" s="420">
        <f t="shared" si="1"/>
        <v>0</v>
      </c>
      <c r="G23" s="183">
        <f>COUNTIFS(РПЗ!$Q:$Q,Справочно!$C19,РПЗ!$O:$O,ПП!$G$14)</f>
        <v>0</v>
      </c>
      <c r="H23" s="406">
        <f>SUMIFS(РПЗ!$L:$L,РПЗ!$Q:$Q,Справочно!$C19,РПЗ!$O:$O,$G$14)</f>
        <v>0</v>
      </c>
      <c r="I23" s="184">
        <f>COUNTIFS(РПЗ!$Q:$Q,Справочно!$C19,РПЗ!$O:$O,ПП!$I$14)</f>
        <v>0</v>
      </c>
      <c r="J23" s="406">
        <f>SUMIFS(РПЗ!$L:$L,РПЗ!$Q:$Q,Справочно!$C19,РПЗ!$O:$O,$I$14)</f>
        <v>0</v>
      </c>
      <c r="K23" s="184">
        <f>COUNTIFS(РПЗ!$Q:$Q,Справочно!$C19,РПЗ!$O:$O,ПП!$K$14)</f>
        <v>0</v>
      </c>
      <c r="L23" s="407">
        <f>SUMIFS(РПЗ!$L:$L,РПЗ!$Q:$Q,Справочно!$C19,РПЗ!$O:$O,$K$14)</f>
        <v>0</v>
      </c>
      <c r="M23" s="229">
        <f t="shared" si="2"/>
        <v>0</v>
      </c>
      <c r="N23" s="396">
        <f t="shared" si="3"/>
        <v>0</v>
      </c>
      <c r="O23" s="187">
        <f>COUNTIFS(РПЗ!$Q:$Q,Справочно!$C19,РПЗ!$O:$O,ПП!$O$14)</f>
        <v>0</v>
      </c>
      <c r="P23" s="397">
        <f>SUMIFS(РПЗ!$L:$L,РПЗ!$Q:$Q,Справочно!$C19,РПЗ!$O:$O,$O$14)</f>
        <v>0</v>
      </c>
      <c r="Q23" s="188">
        <f>COUNTIFS(РПЗ!$Q:$Q,Справочно!$C19,РПЗ!$O:$O,ПП!$Q$14)</f>
        <v>0</v>
      </c>
      <c r="R23" s="397">
        <f>SUMIFS(РПЗ!$L:$L,РПЗ!$Q:$Q,Справочно!$C19,РПЗ!$O:$O,$Q$14)</f>
        <v>0</v>
      </c>
      <c r="S23" s="188">
        <f>COUNTIFS(РПЗ!$Q:$Q,Справочно!$C19,РПЗ!$O:$O,ПП!$S$14)</f>
        <v>0</v>
      </c>
      <c r="T23" s="398">
        <f>SUMIFS(РПЗ!$L:$L,РПЗ!$Q:$Q,Справочно!$C19,РПЗ!$O:$O,$S$14)</f>
        <v>0</v>
      </c>
      <c r="U23" s="233">
        <f t="shared" si="4"/>
        <v>0</v>
      </c>
      <c r="V23" s="399">
        <f t="shared" si="5"/>
        <v>0</v>
      </c>
      <c r="W23" s="178">
        <f>COUNTIFS(РПЗ!$Q:$Q,Справочно!$C19,РПЗ!$O:$O,ПП!$W$14)</f>
        <v>0</v>
      </c>
      <c r="X23" s="400">
        <f>SUMIFS(РПЗ!$L:$L,РПЗ!$Q:$Q,Справочно!$C19,РПЗ!$O:$O,$W$14)</f>
        <v>0</v>
      </c>
      <c r="Y23" s="179">
        <f>COUNTIFS(РПЗ!$Q:$Q,Справочно!$C19,РПЗ!$O:$O,ПП!$Y$14)</f>
        <v>0</v>
      </c>
      <c r="Z23" s="400">
        <f>SUMIFS(РПЗ!$L:$L,РПЗ!$Q:$Q,Справочно!$C19,РПЗ!$O:$O,$Y$14)</f>
        <v>0</v>
      </c>
      <c r="AA23" s="179">
        <f>COUNTIFS(РПЗ!$Q:$Q,Справочно!$C19,РПЗ!$O:$O,ПП!$AA$14)</f>
        <v>0</v>
      </c>
      <c r="AB23" s="401">
        <f>SUMIFS(РПЗ!$L:$L,РПЗ!$Q:$Q,Справочно!$C19,РПЗ!$O:$O,$AA$14)</f>
        <v>0</v>
      </c>
      <c r="AC23" s="234">
        <f t="shared" si="6"/>
        <v>0</v>
      </c>
      <c r="AD23" s="402">
        <f t="shared" si="7"/>
        <v>0</v>
      </c>
      <c r="AE23" s="190">
        <f>COUNTIFS(РПЗ!$Q:$Q,Справочно!$C19,РПЗ!$O:$O,ПП!$AE$14)</f>
        <v>0</v>
      </c>
      <c r="AF23" s="403">
        <f>SUMIFS(РПЗ!$L:$L,РПЗ!$Q:$Q,Справочно!$C19,РПЗ!$O:$O,$AE$14)</f>
        <v>0</v>
      </c>
      <c r="AG23" s="191">
        <f>COUNTIFS(РПЗ!$Q:$Q,Справочно!$C19,РПЗ!$O:$O,ПП!$AG$14)</f>
        <v>0</v>
      </c>
      <c r="AH23" s="403">
        <f>SUMIFS(РПЗ!$L:$L,РПЗ!$Q:$Q,Справочно!$C19,РПЗ!$O:$O,$AG$14)</f>
        <v>0</v>
      </c>
      <c r="AI23" s="191">
        <f>COUNTIFS(РПЗ!$Q:$Q,Справочно!$C19,РПЗ!$O:$O,ПП!$AI$14)</f>
        <v>0</v>
      </c>
      <c r="AJ23" s="404">
        <f>SUMIFS(РПЗ!$L:$L,РПЗ!$Q:$Q,Справочно!$C19,РПЗ!$O:$O,$AI$14)</f>
        <v>0</v>
      </c>
      <c r="AK23" s="238">
        <f t="shared" si="8"/>
        <v>0</v>
      </c>
      <c r="AL23" s="405">
        <f t="shared" si="9"/>
        <v>0</v>
      </c>
    </row>
    <row r="24" spans="1:38" ht="13.5" thickBot="1" x14ac:dyDescent="0.25">
      <c r="A24" s="86" t="s">
        <v>109</v>
      </c>
      <c r="B24" s="356">
        <f>COUNTIF(РПЗ!$Q:$Q,Справочно!$C20)</f>
        <v>88</v>
      </c>
      <c r="C24" s="418">
        <f t="shared" si="0"/>
        <v>0.4731182795698925</v>
      </c>
      <c r="D24" s="421">
        <f>SUMIF(РПЗ!$Q:$Q,Справочно!$C20,РПЗ!$L:$L)</f>
        <v>160586551</v>
      </c>
      <c r="E24" s="420">
        <f t="shared" si="1"/>
        <v>0.39513935856526661</v>
      </c>
      <c r="G24" s="183">
        <f>COUNTIFS(РПЗ!$Q:$Q,Справочно!$C20,РПЗ!$O:$O,ПП!$G$14)</f>
        <v>0</v>
      </c>
      <c r="H24" s="406">
        <f>SUMIFS(РПЗ!$L:$L,РПЗ!$Q:$Q,Справочно!$C20,РПЗ!$O:$O,$G$14)</f>
        <v>0</v>
      </c>
      <c r="I24" s="184">
        <f>COUNTIFS(РПЗ!$Q:$Q,Справочно!$C20,РПЗ!$O:$O,ПП!$I$14)</f>
        <v>0</v>
      </c>
      <c r="J24" s="406">
        <f>SUMIFS(РПЗ!$L:$L,РПЗ!$Q:$Q,Справочно!$C20,РПЗ!$O:$O,$I$14)</f>
        <v>0</v>
      </c>
      <c r="K24" s="184">
        <f>COUNTIFS(РПЗ!$Q:$Q,Справочно!$C20,РПЗ!$O:$O,ПП!$K$14)</f>
        <v>0</v>
      </c>
      <c r="L24" s="407">
        <f>SUMIFS(РПЗ!$L:$L,РПЗ!$Q:$Q,Справочно!$C20,РПЗ!$O:$O,$K$14)</f>
        <v>0</v>
      </c>
      <c r="M24" s="229">
        <f t="shared" si="2"/>
        <v>0</v>
      </c>
      <c r="N24" s="396">
        <f t="shared" si="3"/>
        <v>0</v>
      </c>
      <c r="O24" s="187">
        <f>COUNTIFS(РПЗ!$Q:$Q,Справочно!$C20,РПЗ!$O:$O,ПП!$O$14)</f>
        <v>0</v>
      </c>
      <c r="P24" s="397">
        <f>SUMIFS(РПЗ!$L:$L,РПЗ!$Q:$Q,Справочно!$C20,РПЗ!$O:$O,$O$14)</f>
        <v>0</v>
      </c>
      <c r="Q24" s="188">
        <f>COUNTIFS(РПЗ!$Q:$Q,Справочно!$C20,РПЗ!$O:$O,ПП!$Q$14)</f>
        <v>0</v>
      </c>
      <c r="R24" s="397">
        <f>SUMIFS(РПЗ!$L:$L,РПЗ!$Q:$Q,Справочно!$C20,РПЗ!$O:$O,$Q$14)</f>
        <v>0</v>
      </c>
      <c r="S24" s="188">
        <f>COUNTIFS(РПЗ!$Q:$Q,Справочно!$C20,РПЗ!$O:$O,ПП!$S$14)</f>
        <v>0</v>
      </c>
      <c r="T24" s="398">
        <f>SUMIFS(РПЗ!$L:$L,РПЗ!$Q:$Q,Справочно!$C20,РПЗ!$O:$O,$S$14)</f>
        <v>0</v>
      </c>
      <c r="U24" s="233">
        <f t="shared" si="4"/>
        <v>0</v>
      </c>
      <c r="V24" s="399">
        <f t="shared" si="5"/>
        <v>0</v>
      </c>
      <c r="W24" s="178">
        <f>COUNTIFS(РПЗ!$Q:$Q,Справочно!$C20,РПЗ!$O:$O,ПП!$W$14)</f>
        <v>0</v>
      </c>
      <c r="X24" s="400">
        <f>SUMIFS(РПЗ!$L:$L,РПЗ!$Q:$Q,Справочно!$C20,РПЗ!$O:$O,$W$14)</f>
        <v>0</v>
      </c>
      <c r="Y24" s="179">
        <f>COUNTIFS(РПЗ!$Q:$Q,Справочно!$C20,РПЗ!$O:$O,ПП!$Y$14)</f>
        <v>0</v>
      </c>
      <c r="Z24" s="400">
        <f>SUMIFS(РПЗ!$L:$L,РПЗ!$Q:$Q,Справочно!$C20,РПЗ!$O:$O,$Y$14)</f>
        <v>0</v>
      </c>
      <c r="AA24" s="179">
        <f>COUNTIFS(РПЗ!$Q:$Q,Справочно!$C20,РПЗ!$O:$O,ПП!$AA$14)</f>
        <v>0</v>
      </c>
      <c r="AB24" s="401">
        <f>SUMIFS(РПЗ!$L:$L,РПЗ!$Q:$Q,Справочно!$C20,РПЗ!$O:$O,$AA$14)</f>
        <v>0</v>
      </c>
      <c r="AC24" s="234">
        <f t="shared" si="6"/>
        <v>0</v>
      </c>
      <c r="AD24" s="402">
        <f t="shared" si="7"/>
        <v>0</v>
      </c>
      <c r="AE24" s="190">
        <f>COUNTIFS(РПЗ!$Q:$Q,Справочно!$C20,РПЗ!$O:$O,ПП!$AE$14)</f>
        <v>0</v>
      </c>
      <c r="AF24" s="403">
        <f>SUMIFS(РПЗ!$L:$L,РПЗ!$Q:$Q,Справочно!$C20,РПЗ!$O:$O,$AE$14)</f>
        <v>0</v>
      </c>
      <c r="AG24" s="191">
        <f>COUNTIFS(РПЗ!$Q:$Q,Справочно!$C20,РПЗ!$O:$O,ПП!$AG$14)</f>
        <v>0</v>
      </c>
      <c r="AH24" s="403">
        <f>SUMIFS(РПЗ!$L:$L,РПЗ!$Q:$Q,Справочно!$C20,РПЗ!$O:$O,$AG$14)</f>
        <v>0</v>
      </c>
      <c r="AI24" s="191">
        <f>COUNTIFS(РПЗ!$Q:$Q,Справочно!$C20,РПЗ!$O:$O,ПП!$AI$14)</f>
        <v>0</v>
      </c>
      <c r="AJ24" s="404">
        <f>SUMIFS(РПЗ!$L:$L,РПЗ!$Q:$Q,Справочно!$C20,РПЗ!$O:$O,$AI$14)</f>
        <v>0</v>
      </c>
      <c r="AK24" s="238">
        <f t="shared" si="8"/>
        <v>0</v>
      </c>
      <c r="AL24" s="405">
        <f t="shared" si="9"/>
        <v>0</v>
      </c>
    </row>
    <row r="25" spans="1:38" ht="13.5" thickBot="1" x14ac:dyDescent="0.25">
      <c r="A25" s="86" t="s">
        <v>255</v>
      </c>
      <c r="B25" s="356">
        <f>COUNTIF(РПЗ!$Q:$Q,Справочно!$C21)</f>
        <v>0</v>
      </c>
      <c r="C25" s="418">
        <f t="shared" si="0"/>
        <v>0</v>
      </c>
      <c r="D25" s="421">
        <f>SUMIF(РПЗ!$Q:$Q,Справочно!$C21,РПЗ!$L:$L)</f>
        <v>0</v>
      </c>
      <c r="E25" s="420">
        <f t="shared" si="1"/>
        <v>0</v>
      </c>
      <c r="G25" s="183">
        <f>COUNTIFS(РПЗ!$Q:$Q,Справочно!$C21,РПЗ!$O:$O,ПП!$G$14)</f>
        <v>0</v>
      </c>
      <c r="H25" s="406">
        <f>SUMIFS(РПЗ!$L:$L,РПЗ!$Q:$Q,Справочно!$C21,РПЗ!$O:$O,$G$14)</f>
        <v>0</v>
      </c>
      <c r="I25" s="184">
        <f>COUNTIFS(РПЗ!$Q:$Q,Справочно!$C21,РПЗ!$O:$O,ПП!$I$14)</f>
        <v>0</v>
      </c>
      <c r="J25" s="406">
        <f>SUMIFS(РПЗ!$L:$L,РПЗ!$Q:$Q,Справочно!$C21,РПЗ!$O:$O,$I$14)</f>
        <v>0</v>
      </c>
      <c r="K25" s="184">
        <f>COUNTIFS(РПЗ!$Q:$Q,Справочно!$C21,РПЗ!$O:$O,ПП!$K$14)</f>
        <v>0</v>
      </c>
      <c r="L25" s="407">
        <f>SUMIFS(РПЗ!$L:$L,РПЗ!$Q:$Q,Справочно!$C21,РПЗ!$O:$O,$K$14)</f>
        <v>0</v>
      </c>
      <c r="M25" s="229">
        <f t="shared" si="2"/>
        <v>0</v>
      </c>
      <c r="N25" s="396">
        <f t="shared" si="3"/>
        <v>0</v>
      </c>
      <c r="O25" s="187">
        <f>COUNTIFS(РПЗ!$Q:$Q,Справочно!$C21,РПЗ!$O:$O,ПП!$O$14)</f>
        <v>0</v>
      </c>
      <c r="P25" s="397">
        <f>SUMIFS(РПЗ!$L:$L,РПЗ!$Q:$Q,Справочно!$C21,РПЗ!$O:$O,$O$14)</f>
        <v>0</v>
      </c>
      <c r="Q25" s="188">
        <f>COUNTIFS(РПЗ!$Q:$Q,Справочно!$C21,РПЗ!$O:$O,ПП!$Q$14)</f>
        <v>0</v>
      </c>
      <c r="R25" s="397">
        <f>SUMIFS(РПЗ!$L:$L,РПЗ!$Q:$Q,Справочно!$C21,РПЗ!$O:$O,$Q$14)</f>
        <v>0</v>
      </c>
      <c r="S25" s="188">
        <f>COUNTIFS(РПЗ!$Q:$Q,Справочно!$C21,РПЗ!$O:$O,ПП!$S$14)</f>
        <v>0</v>
      </c>
      <c r="T25" s="398">
        <f>SUMIFS(РПЗ!$L:$L,РПЗ!$Q:$Q,Справочно!$C21,РПЗ!$O:$O,$S$14)</f>
        <v>0</v>
      </c>
      <c r="U25" s="233">
        <f t="shared" si="4"/>
        <v>0</v>
      </c>
      <c r="V25" s="399">
        <f t="shared" si="5"/>
        <v>0</v>
      </c>
      <c r="W25" s="178">
        <f>COUNTIFS(РПЗ!$Q:$Q,Справочно!$C21,РПЗ!$O:$O,ПП!$W$14)</f>
        <v>0</v>
      </c>
      <c r="X25" s="400">
        <f>SUMIFS(РПЗ!$L:$L,РПЗ!$Q:$Q,Справочно!$C21,РПЗ!$O:$O,$W$14)</f>
        <v>0</v>
      </c>
      <c r="Y25" s="179">
        <f>COUNTIFS(РПЗ!$Q:$Q,Справочно!$C21,РПЗ!$O:$O,ПП!$Y$14)</f>
        <v>0</v>
      </c>
      <c r="Z25" s="400">
        <f>SUMIFS(РПЗ!$L:$L,РПЗ!$Q:$Q,Справочно!$C21,РПЗ!$O:$O,$Y$14)</f>
        <v>0</v>
      </c>
      <c r="AA25" s="179">
        <f>COUNTIFS(РПЗ!$Q:$Q,Справочно!$C21,РПЗ!$O:$O,ПП!$AA$14)</f>
        <v>0</v>
      </c>
      <c r="AB25" s="401">
        <f>SUMIFS(РПЗ!$L:$L,РПЗ!$Q:$Q,Справочно!$C21,РПЗ!$O:$O,$AA$14)</f>
        <v>0</v>
      </c>
      <c r="AC25" s="234">
        <f t="shared" si="6"/>
        <v>0</v>
      </c>
      <c r="AD25" s="402">
        <f t="shared" si="7"/>
        <v>0</v>
      </c>
      <c r="AE25" s="190">
        <f>COUNTIFS(РПЗ!$Q:$Q,Справочно!$C21,РПЗ!$O:$O,ПП!$AE$14)</f>
        <v>0</v>
      </c>
      <c r="AF25" s="403">
        <f>SUMIFS(РПЗ!$L:$L,РПЗ!$Q:$Q,Справочно!$C21,РПЗ!$O:$O,$AE$14)</f>
        <v>0</v>
      </c>
      <c r="AG25" s="191">
        <f>COUNTIFS(РПЗ!$Q:$Q,Справочно!$C21,РПЗ!$O:$O,ПП!$AG$14)</f>
        <v>0</v>
      </c>
      <c r="AH25" s="403">
        <f>SUMIFS(РПЗ!$L:$L,РПЗ!$Q:$Q,Справочно!$C21,РПЗ!$O:$O,$AG$14)</f>
        <v>0</v>
      </c>
      <c r="AI25" s="191">
        <f>COUNTIFS(РПЗ!$Q:$Q,Справочно!$C21,РПЗ!$O:$O,ПП!$AI$14)</f>
        <v>0</v>
      </c>
      <c r="AJ25" s="404">
        <f>SUMIFS(РПЗ!$L:$L,РПЗ!$Q:$Q,Справочно!$C21,РПЗ!$O:$O,$AI$14)</f>
        <v>0</v>
      </c>
      <c r="AK25" s="238">
        <f t="shared" si="8"/>
        <v>0</v>
      </c>
      <c r="AL25" s="405">
        <f t="shared" si="9"/>
        <v>0</v>
      </c>
    </row>
    <row r="26" spans="1:38" ht="13.5" thickBot="1" x14ac:dyDescent="0.25">
      <c r="A26" s="86" t="s">
        <v>168</v>
      </c>
      <c r="B26" s="356">
        <f>COUNTIF(РПЗ!$Q:$Q,Справочно!$C22)</f>
        <v>0</v>
      </c>
      <c r="C26" s="418">
        <f t="shared" si="0"/>
        <v>0</v>
      </c>
      <c r="D26" s="421">
        <f>SUMIF(РПЗ!$Q:$Q,Справочно!$C22,РПЗ!$L:$L)</f>
        <v>0</v>
      </c>
      <c r="E26" s="420">
        <f t="shared" si="1"/>
        <v>0</v>
      </c>
      <c r="G26" s="183">
        <f>COUNTIFS(РПЗ!$Q:$Q,Справочно!$C22,РПЗ!$O:$O,ПП!$G$14)</f>
        <v>0</v>
      </c>
      <c r="H26" s="406">
        <f>SUMIFS(РПЗ!$L:$L,РПЗ!$Q:$Q,Справочно!$C22,РПЗ!$O:$O,$G$14)</f>
        <v>0</v>
      </c>
      <c r="I26" s="184">
        <f>COUNTIFS(РПЗ!$Q:$Q,Справочно!$C22,РПЗ!$O:$O,ПП!$I$14)</f>
        <v>0</v>
      </c>
      <c r="J26" s="406">
        <f>SUMIFS(РПЗ!$L:$L,РПЗ!$Q:$Q,Справочно!$C22,РПЗ!$O:$O,$I$14)</f>
        <v>0</v>
      </c>
      <c r="K26" s="184">
        <f>COUNTIFS(РПЗ!$Q:$Q,Справочно!$C22,РПЗ!$O:$O,ПП!$K$14)</f>
        <v>0</v>
      </c>
      <c r="L26" s="407">
        <f>SUMIFS(РПЗ!$L:$L,РПЗ!$Q:$Q,Справочно!$C22,РПЗ!$O:$O,$K$14)</f>
        <v>0</v>
      </c>
      <c r="M26" s="229">
        <f t="shared" si="2"/>
        <v>0</v>
      </c>
      <c r="N26" s="396">
        <f t="shared" si="3"/>
        <v>0</v>
      </c>
      <c r="O26" s="187">
        <f>COUNTIFS(РПЗ!$Q:$Q,Справочно!$C22,РПЗ!$O:$O,ПП!$O$14)</f>
        <v>0</v>
      </c>
      <c r="P26" s="397">
        <f>SUMIFS(РПЗ!$L:$L,РПЗ!$Q:$Q,Справочно!$C22,РПЗ!$O:$O,$O$14)</f>
        <v>0</v>
      </c>
      <c r="Q26" s="188">
        <f>COUNTIFS(РПЗ!$Q:$Q,Справочно!$C22,РПЗ!$O:$O,ПП!$Q$14)</f>
        <v>0</v>
      </c>
      <c r="R26" s="397">
        <f>SUMIFS(РПЗ!$L:$L,РПЗ!$Q:$Q,Справочно!$C22,РПЗ!$O:$O,$Q$14)</f>
        <v>0</v>
      </c>
      <c r="S26" s="188">
        <f>COUNTIFS(РПЗ!$Q:$Q,Справочно!$C22,РПЗ!$O:$O,ПП!$S$14)</f>
        <v>0</v>
      </c>
      <c r="T26" s="398">
        <f>SUMIFS(РПЗ!$L:$L,РПЗ!$Q:$Q,Справочно!$C22,РПЗ!$O:$O,$S$14)</f>
        <v>0</v>
      </c>
      <c r="U26" s="233">
        <f t="shared" si="4"/>
        <v>0</v>
      </c>
      <c r="V26" s="399">
        <f t="shared" si="5"/>
        <v>0</v>
      </c>
      <c r="W26" s="178">
        <f>COUNTIFS(РПЗ!$Q:$Q,Справочно!$C22,РПЗ!$O:$O,ПП!$W$14)</f>
        <v>0</v>
      </c>
      <c r="X26" s="400">
        <f>SUMIFS(РПЗ!$L:$L,РПЗ!$Q:$Q,Справочно!$C22,РПЗ!$O:$O,$W$14)</f>
        <v>0</v>
      </c>
      <c r="Y26" s="179">
        <f>COUNTIFS(РПЗ!$Q:$Q,Справочно!$C22,РПЗ!$O:$O,ПП!$Y$14)</f>
        <v>0</v>
      </c>
      <c r="Z26" s="400">
        <f>SUMIFS(РПЗ!$L:$L,РПЗ!$Q:$Q,Справочно!$C22,РПЗ!$O:$O,$Y$14)</f>
        <v>0</v>
      </c>
      <c r="AA26" s="179">
        <f>COUNTIFS(РПЗ!$Q:$Q,Справочно!$C22,РПЗ!$O:$O,ПП!$AA$14)</f>
        <v>0</v>
      </c>
      <c r="AB26" s="401">
        <f>SUMIFS(РПЗ!$L:$L,РПЗ!$Q:$Q,Справочно!$C22,РПЗ!$O:$O,$AA$14)</f>
        <v>0</v>
      </c>
      <c r="AC26" s="234">
        <f t="shared" si="6"/>
        <v>0</v>
      </c>
      <c r="AD26" s="402">
        <f t="shared" si="7"/>
        <v>0</v>
      </c>
      <c r="AE26" s="190">
        <f>COUNTIFS(РПЗ!$Q:$Q,Справочно!$C22,РПЗ!$O:$O,ПП!$AE$14)</f>
        <v>0</v>
      </c>
      <c r="AF26" s="403">
        <f>SUMIFS(РПЗ!$L:$L,РПЗ!$Q:$Q,Справочно!$C22,РПЗ!$O:$O,$AE$14)</f>
        <v>0</v>
      </c>
      <c r="AG26" s="191">
        <f>COUNTIFS(РПЗ!$Q:$Q,Справочно!$C22,РПЗ!$O:$O,ПП!$AG$14)</f>
        <v>0</v>
      </c>
      <c r="AH26" s="403">
        <f>SUMIFS(РПЗ!$L:$L,РПЗ!$Q:$Q,Справочно!$C22,РПЗ!$O:$O,$AG$14)</f>
        <v>0</v>
      </c>
      <c r="AI26" s="191">
        <f>COUNTIFS(РПЗ!$Q:$Q,Справочно!$C22,РПЗ!$O:$O,ПП!$AI$14)</f>
        <v>0</v>
      </c>
      <c r="AJ26" s="404">
        <f>SUMIFS(РПЗ!$L:$L,РПЗ!$Q:$Q,Справочно!$C22,РПЗ!$O:$O,$AI$14)</f>
        <v>0</v>
      </c>
      <c r="AK26" s="238">
        <f t="shared" si="8"/>
        <v>0</v>
      </c>
      <c r="AL26" s="405">
        <f t="shared" si="9"/>
        <v>0</v>
      </c>
    </row>
    <row r="27" spans="1:38" ht="13.5" thickBot="1" x14ac:dyDescent="0.25">
      <c r="A27" s="86" t="s">
        <v>256</v>
      </c>
      <c r="B27" s="356">
        <f>COUNTIF(РПЗ!$Q:$Q,Справочно!$C23)</f>
        <v>0</v>
      </c>
      <c r="C27" s="418">
        <f t="shared" si="0"/>
        <v>0</v>
      </c>
      <c r="D27" s="421">
        <f>SUMIF(РПЗ!$Q:$Q,Справочно!$C23,РПЗ!$L:$L)</f>
        <v>0</v>
      </c>
      <c r="E27" s="420">
        <f t="shared" si="1"/>
        <v>0</v>
      </c>
      <c r="G27" s="183">
        <f>COUNTIFS(РПЗ!$Q:$Q,Справочно!$C23,РПЗ!$O:$O,ПП!$G$14)</f>
        <v>0</v>
      </c>
      <c r="H27" s="406">
        <f>SUMIFS(РПЗ!$L:$L,РПЗ!$Q:$Q,Справочно!$C23,РПЗ!$O:$O,$G$14)</f>
        <v>0</v>
      </c>
      <c r="I27" s="184">
        <f>COUNTIFS(РПЗ!$Q:$Q,Справочно!$C23,РПЗ!$O:$O,ПП!$I$14)</f>
        <v>0</v>
      </c>
      <c r="J27" s="406">
        <f>SUMIFS(РПЗ!$L:$L,РПЗ!$Q:$Q,Справочно!$C23,РПЗ!$O:$O,$I$14)</f>
        <v>0</v>
      </c>
      <c r="K27" s="184">
        <f>COUNTIFS(РПЗ!$Q:$Q,Справочно!$C23,РПЗ!$O:$O,ПП!$K$14)</f>
        <v>0</v>
      </c>
      <c r="L27" s="407">
        <f>SUMIFS(РПЗ!$L:$L,РПЗ!$Q:$Q,Справочно!$C23,РПЗ!$O:$O,$K$14)</f>
        <v>0</v>
      </c>
      <c r="M27" s="229">
        <f t="shared" si="2"/>
        <v>0</v>
      </c>
      <c r="N27" s="396">
        <f t="shared" si="3"/>
        <v>0</v>
      </c>
      <c r="O27" s="187">
        <f>COUNTIFS(РПЗ!$Q:$Q,Справочно!$C23,РПЗ!$O:$O,ПП!$O$14)</f>
        <v>0</v>
      </c>
      <c r="P27" s="397">
        <f>SUMIFS(РПЗ!$L:$L,РПЗ!$Q:$Q,Справочно!$C23,РПЗ!$O:$O,$O$14)</f>
        <v>0</v>
      </c>
      <c r="Q27" s="188">
        <f>COUNTIFS(РПЗ!$Q:$Q,Справочно!$C23,РПЗ!$O:$O,ПП!$Q$14)</f>
        <v>0</v>
      </c>
      <c r="R27" s="397">
        <f>SUMIFS(РПЗ!$L:$L,РПЗ!$Q:$Q,Справочно!$C23,РПЗ!$O:$O,$Q$14)</f>
        <v>0</v>
      </c>
      <c r="S27" s="188">
        <f>COUNTIFS(РПЗ!$Q:$Q,Справочно!$C23,РПЗ!$O:$O,ПП!$S$14)</f>
        <v>0</v>
      </c>
      <c r="T27" s="398">
        <f>SUMIFS(РПЗ!$L:$L,РПЗ!$Q:$Q,Справочно!$C23,РПЗ!$O:$O,$S$14)</f>
        <v>0</v>
      </c>
      <c r="U27" s="233">
        <f t="shared" si="4"/>
        <v>0</v>
      </c>
      <c r="V27" s="399">
        <f t="shared" si="5"/>
        <v>0</v>
      </c>
      <c r="W27" s="178">
        <f>COUNTIFS(РПЗ!$Q:$Q,Справочно!$C23,РПЗ!$O:$O,ПП!$W$14)</f>
        <v>0</v>
      </c>
      <c r="X27" s="400">
        <f>SUMIFS(РПЗ!$L:$L,РПЗ!$Q:$Q,Справочно!$C23,РПЗ!$O:$O,$W$14)</f>
        <v>0</v>
      </c>
      <c r="Y27" s="179">
        <f>COUNTIFS(РПЗ!$Q:$Q,Справочно!$C23,РПЗ!$O:$O,ПП!$Y$14)</f>
        <v>0</v>
      </c>
      <c r="Z27" s="400">
        <f>SUMIFS(РПЗ!$L:$L,РПЗ!$Q:$Q,Справочно!$C23,РПЗ!$O:$O,$Y$14)</f>
        <v>0</v>
      </c>
      <c r="AA27" s="179">
        <f>COUNTIFS(РПЗ!$Q:$Q,Справочно!$C23,РПЗ!$O:$O,ПП!$AA$14)</f>
        <v>0</v>
      </c>
      <c r="AB27" s="401">
        <f>SUMIFS(РПЗ!$L:$L,РПЗ!$Q:$Q,Справочно!$C23,РПЗ!$O:$O,$AA$14)</f>
        <v>0</v>
      </c>
      <c r="AC27" s="234">
        <f t="shared" si="6"/>
        <v>0</v>
      </c>
      <c r="AD27" s="402">
        <f t="shared" si="7"/>
        <v>0</v>
      </c>
      <c r="AE27" s="190">
        <f>COUNTIFS(РПЗ!$Q:$Q,Справочно!$C23,РПЗ!$O:$O,ПП!$AE$14)</f>
        <v>0</v>
      </c>
      <c r="AF27" s="403">
        <f>SUMIFS(РПЗ!$L:$L,РПЗ!$Q:$Q,Справочно!$C23,РПЗ!$O:$O,$AE$14)</f>
        <v>0</v>
      </c>
      <c r="AG27" s="191">
        <f>COUNTIFS(РПЗ!$Q:$Q,Справочно!$C23,РПЗ!$O:$O,ПП!$AG$14)</f>
        <v>0</v>
      </c>
      <c r="AH27" s="403">
        <f>SUMIFS(РПЗ!$L:$L,РПЗ!$Q:$Q,Справочно!$C23,РПЗ!$O:$O,$AG$14)</f>
        <v>0</v>
      </c>
      <c r="AI27" s="191">
        <f>COUNTIFS(РПЗ!$Q:$Q,Справочно!$C23,РПЗ!$O:$O,ПП!$AI$14)</f>
        <v>0</v>
      </c>
      <c r="AJ27" s="404">
        <f>SUMIFS(РПЗ!$L:$L,РПЗ!$Q:$Q,Справочно!$C23,РПЗ!$O:$O,$AI$14)</f>
        <v>0</v>
      </c>
      <c r="AK27" s="238">
        <f t="shared" si="8"/>
        <v>0</v>
      </c>
      <c r="AL27" s="405">
        <f t="shared" si="9"/>
        <v>0</v>
      </c>
    </row>
    <row r="28" spans="1:38" ht="13.5" thickBot="1" x14ac:dyDescent="0.25">
      <c r="A28" s="86" t="s">
        <v>169</v>
      </c>
      <c r="B28" s="356">
        <f>COUNTIF(РПЗ!$Q:$Q,Справочно!$C24)</f>
        <v>0</v>
      </c>
      <c r="C28" s="418">
        <f t="shared" si="0"/>
        <v>0</v>
      </c>
      <c r="D28" s="421">
        <f>SUMIF(РПЗ!$Q:$Q,Справочно!$C24,РПЗ!$L:$L)</f>
        <v>0</v>
      </c>
      <c r="E28" s="420">
        <f t="shared" si="1"/>
        <v>0</v>
      </c>
      <c r="G28" s="183">
        <f>COUNTIFS(РПЗ!$Q:$Q,Справочно!$C24,РПЗ!$O:$O,ПП!$G$14)</f>
        <v>0</v>
      </c>
      <c r="H28" s="406">
        <f>SUMIFS(РПЗ!$L:$L,РПЗ!$Q:$Q,Справочно!$C24,РПЗ!$O:$O,$G$14)</f>
        <v>0</v>
      </c>
      <c r="I28" s="184">
        <f>COUNTIFS(РПЗ!$Q:$Q,Справочно!$C24,РПЗ!$O:$O,ПП!$I$14)</f>
        <v>0</v>
      </c>
      <c r="J28" s="406">
        <f>SUMIFS(РПЗ!$L:$L,РПЗ!$Q:$Q,Справочно!$C24,РПЗ!$O:$O,$I$14)</f>
        <v>0</v>
      </c>
      <c r="K28" s="184">
        <f>COUNTIFS(РПЗ!$Q:$Q,Справочно!$C24,РПЗ!$O:$O,ПП!$K$14)</f>
        <v>0</v>
      </c>
      <c r="L28" s="407">
        <f>SUMIFS(РПЗ!$L:$L,РПЗ!$Q:$Q,Справочно!$C24,РПЗ!$O:$O,$K$14)</f>
        <v>0</v>
      </c>
      <c r="M28" s="229">
        <f t="shared" si="2"/>
        <v>0</v>
      </c>
      <c r="N28" s="396">
        <f t="shared" si="3"/>
        <v>0</v>
      </c>
      <c r="O28" s="187">
        <f>COUNTIFS(РПЗ!$Q:$Q,Справочно!$C24,РПЗ!$O:$O,ПП!$O$14)</f>
        <v>0</v>
      </c>
      <c r="P28" s="397">
        <f>SUMIFS(РПЗ!$L:$L,РПЗ!$Q:$Q,Справочно!$C24,РПЗ!$O:$O,$O$14)</f>
        <v>0</v>
      </c>
      <c r="Q28" s="188">
        <f>COUNTIFS(РПЗ!$Q:$Q,Справочно!$C24,РПЗ!$O:$O,ПП!$Q$14)</f>
        <v>0</v>
      </c>
      <c r="R28" s="397">
        <f>SUMIFS(РПЗ!$L:$L,РПЗ!$Q:$Q,Справочно!$C24,РПЗ!$O:$O,$Q$14)</f>
        <v>0</v>
      </c>
      <c r="S28" s="188">
        <f>COUNTIFS(РПЗ!$Q:$Q,Справочно!$C24,РПЗ!$O:$O,ПП!$S$14)</f>
        <v>0</v>
      </c>
      <c r="T28" s="398">
        <f>SUMIFS(РПЗ!$L:$L,РПЗ!$Q:$Q,Справочно!$C24,РПЗ!$O:$O,$S$14)</f>
        <v>0</v>
      </c>
      <c r="U28" s="233">
        <f t="shared" si="4"/>
        <v>0</v>
      </c>
      <c r="V28" s="399">
        <f t="shared" si="5"/>
        <v>0</v>
      </c>
      <c r="W28" s="178">
        <f>COUNTIFS(РПЗ!$Q:$Q,Справочно!$C24,РПЗ!$O:$O,ПП!$W$14)</f>
        <v>0</v>
      </c>
      <c r="X28" s="400">
        <f>SUMIFS(РПЗ!$L:$L,РПЗ!$Q:$Q,Справочно!$C24,РПЗ!$O:$O,$W$14)</f>
        <v>0</v>
      </c>
      <c r="Y28" s="179">
        <f>COUNTIFS(РПЗ!$Q:$Q,Справочно!$C24,РПЗ!$O:$O,ПП!$Y$14)</f>
        <v>0</v>
      </c>
      <c r="Z28" s="400">
        <f>SUMIFS(РПЗ!$L:$L,РПЗ!$Q:$Q,Справочно!$C24,РПЗ!$O:$O,$Y$14)</f>
        <v>0</v>
      </c>
      <c r="AA28" s="179">
        <f>COUNTIFS(РПЗ!$Q:$Q,Справочно!$C24,РПЗ!$O:$O,ПП!$AA$14)</f>
        <v>0</v>
      </c>
      <c r="AB28" s="401">
        <f>SUMIFS(РПЗ!$L:$L,РПЗ!$Q:$Q,Справочно!$C24,РПЗ!$O:$O,$AA$14)</f>
        <v>0</v>
      </c>
      <c r="AC28" s="234">
        <f t="shared" si="6"/>
        <v>0</v>
      </c>
      <c r="AD28" s="402">
        <f t="shared" si="7"/>
        <v>0</v>
      </c>
      <c r="AE28" s="190">
        <f>COUNTIFS(РПЗ!$Q:$Q,Справочно!$C24,РПЗ!$O:$O,ПП!$AE$14)</f>
        <v>0</v>
      </c>
      <c r="AF28" s="403">
        <f>SUMIFS(РПЗ!$L:$L,РПЗ!$Q:$Q,Справочно!$C24,РПЗ!$O:$O,$AE$14)</f>
        <v>0</v>
      </c>
      <c r="AG28" s="191">
        <f>COUNTIFS(РПЗ!$Q:$Q,Справочно!$C24,РПЗ!$O:$O,ПП!$AG$14)</f>
        <v>0</v>
      </c>
      <c r="AH28" s="403">
        <f>SUMIFS(РПЗ!$L:$L,РПЗ!$Q:$Q,Справочно!$C24,РПЗ!$O:$O,$AG$14)</f>
        <v>0</v>
      </c>
      <c r="AI28" s="191">
        <f>COUNTIFS(РПЗ!$Q:$Q,Справочно!$C24,РПЗ!$O:$O,ПП!$AI$14)</f>
        <v>0</v>
      </c>
      <c r="AJ28" s="404">
        <f>SUMIFS(РПЗ!$L:$L,РПЗ!$Q:$Q,Справочно!$C24,РПЗ!$O:$O,$AI$14)</f>
        <v>0</v>
      </c>
      <c r="AK28" s="238">
        <f t="shared" si="8"/>
        <v>0</v>
      </c>
      <c r="AL28" s="405">
        <f t="shared" si="9"/>
        <v>0</v>
      </c>
    </row>
    <row r="29" spans="1:38" ht="13.5" thickBot="1" x14ac:dyDescent="0.25">
      <c r="A29" s="86" t="s">
        <v>257</v>
      </c>
      <c r="B29" s="356">
        <f>COUNTIF(РПЗ!$Q:$Q,Справочно!$C25)</f>
        <v>0</v>
      </c>
      <c r="C29" s="418">
        <f t="shared" si="0"/>
        <v>0</v>
      </c>
      <c r="D29" s="421">
        <f>SUMIF(РПЗ!$Q:$Q,Справочно!$C25,РПЗ!$L:$L)</f>
        <v>0</v>
      </c>
      <c r="E29" s="420">
        <f t="shared" si="1"/>
        <v>0</v>
      </c>
      <c r="G29" s="183">
        <f>COUNTIFS(РПЗ!$Q:$Q,Справочно!$C25,РПЗ!$O:$O,ПП!$G$14)</f>
        <v>0</v>
      </c>
      <c r="H29" s="406">
        <f>SUMIFS(РПЗ!$L:$L,РПЗ!$Q:$Q,Справочно!$C25,РПЗ!$O:$O,$G$14)</f>
        <v>0</v>
      </c>
      <c r="I29" s="184">
        <f>COUNTIFS(РПЗ!$Q:$Q,Справочно!$C25,РПЗ!$O:$O,ПП!$I$14)</f>
        <v>0</v>
      </c>
      <c r="J29" s="406">
        <f>SUMIFS(РПЗ!$L:$L,РПЗ!$Q:$Q,Справочно!$C25,РПЗ!$O:$O,$I$14)</f>
        <v>0</v>
      </c>
      <c r="K29" s="184">
        <f>COUNTIFS(РПЗ!$Q:$Q,Справочно!$C25,РПЗ!$O:$O,ПП!$K$14)</f>
        <v>0</v>
      </c>
      <c r="L29" s="407">
        <f>SUMIFS(РПЗ!$L:$L,РПЗ!$Q:$Q,Справочно!$C25,РПЗ!$O:$O,$K$14)</f>
        <v>0</v>
      </c>
      <c r="M29" s="229">
        <f t="shared" si="2"/>
        <v>0</v>
      </c>
      <c r="N29" s="396">
        <f t="shared" si="3"/>
        <v>0</v>
      </c>
      <c r="O29" s="187">
        <f>COUNTIFS(РПЗ!$Q:$Q,Справочно!$C25,РПЗ!$O:$O,ПП!$O$14)</f>
        <v>0</v>
      </c>
      <c r="P29" s="397">
        <f>SUMIFS(РПЗ!$L:$L,РПЗ!$Q:$Q,Справочно!$C25,РПЗ!$O:$O,$O$14)</f>
        <v>0</v>
      </c>
      <c r="Q29" s="188">
        <f>COUNTIFS(РПЗ!$Q:$Q,Справочно!$C25,РПЗ!$O:$O,ПП!$Q$14)</f>
        <v>0</v>
      </c>
      <c r="R29" s="397">
        <f>SUMIFS(РПЗ!$L:$L,РПЗ!$Q:$Q,Справочно!$C25,РПЗ!$O:$O,$Q$14)</f>
        <v>0</v>
      </c>
      <c r="S29" s="188">
        <f>COUNTIFS(РПЗ!$Q:$Q,Справочно!$C25,РПЗ!$O:$O,ПП!$S$14)</f>
        <v>0</v>
      </c>
      <c r="T29" s="398">
        <f>SUMIFS(РПЗ!$L:$L,РПЗ!$Q:$Q,Справочно!$C25,РПЗ!$O:$O,$S$14)</f>
        <v>0</v>
      </c>
      <c r="U29" s="233">
        <f t="shared" si="4"/>
        <v>0</v>
      </c>
      <c r="V29" s="399">
        <f t="shared" si="5"/>
        <v>0</v>
      </c>
      <c r="W29" s="178">
        <f>COUNTIFS(РПЗ!$Q:$Q,Справочно!$C25,РПЗ!$O:$O,ПП!$W$14)</f>
        <v>0</v>
      </c>
      <c r="X29" s="400">
        <f>SUMIFS(РПЗ!$L:$L,РПЗ!$Q:$Q,Справочно!$C25,РПЗ!$O:$O,$W$14)</f>
        <v>0</v>
      </c>
      <c r="Y29" s="179">
        <f>COUNTIFS(РПЗ!$Q:$Q,Справочно!$C25,РПЗ!$O:$O,ПП!$Y$14)</f>
        <v>0</v>
      </c>
      <c r="Z29" s="400">
        <f>SUMIFS(РПЗ!$L:$L,РПЗ!$Q:$Q,Справочно!$C25,РПЗ!$O:$O,$Y$14)</f>
        <v>0</v>
      </c>
      <c r="AA29" s="179">
        <f>COUNTIFS(РПЗ!$Q:$Q,Справочно!$C25,РПЗ!$O:$O,ПП!$AA$14)</f>
        <v>0</v>
      </c>
      <c r="AB29" s="401">
        <f>SUMIFS(РПЗ!$L:$L,РПЗ!$Q:$Q,Справочно!$C25,РПЗ!$O:$O,$AA$14)</f>
        <v>0</v>
      </c>
      <c r="AC29" s="234">
        <f t="shared" si="6"/>
        <v>0</v>
      </c>
      <c r="AD29" s="402">
        <f t="shared" si="7"/>
        <v>0</v>
      </c>
      <c r="AE29" s="190">
        <f>COUNTIFS(РПЗ!$Q:$Q,Справочно!$C25,РПЗ!$O:$O,ПП!$AE$14)</f>
        <v>0</v>
      </c>
      <c r="AF29" s="403">
        <f>SUMIFS(РПЗ!$L:$L,РПЗ!$Q:$Q,Справочно!$C25,РПЗ!$O:$O,$AE$14)</f>
        <v>0</v>
      </c>
      <c r="AG29" s="191">
        <f>COUNTIFS(РПЗ!$Q:$Q,Справочно!$C25,РПЗ!$O:$O,ПП!$AG$14)</f>
        <v>0</v>
      </c>
      <c r="AH29" s="403">
        <f>SUMIFS(РПЗ!$L:$L,РПЗ!$Q:$Q,Справочно!$C25,РПЗ!$O:$O,$AG$14)</f>
        <v>0</v>
      </c>
      <c r="AI29" s="191">
        <f>COUNTIFS(РПЗ!$Q:$Q,Справочно!$C25,РПЗ!$O:$O,ПП!$AI$14)</f>
        <v>0</v>
      </c>
      <c r="AJ29" s="404">
        <f>SUMIFS(РПЗ!$L:$L,РПЗ!$Q:$Q,Справочно!$C25,РПЗ!$O:$O,$AI$14)</f>
        <v>0</v>
      </c>
      <c r="AK29" s="238">
        <f t="shared" si="8"/>
        <v>0</v>
      </c>
      <c r="AL29" s="405">
        <f t="shared" si="9"/>
        <v>0</v>
      </c>
    </row>
    <row r="30" spans="1:38" ht="13.5" thickBot="1" x14ac:dyDescent="0.25">
      <c r="A30" s="86" t="s">
        <v>170</v>
      </c>
      <c r="B30" s="356">
        <f>COUNTIF(РПЗ!$Q:$Q,Справочно!$C26)</f>
        <v>0</v>
      </c>
      <c r="C30" s="418">
        <f t="shared" si="0"/>
        <v>0</v>
      </c>
      <c r="D30" s="421">
        <f>SUMIF(РПЗ!$Q:$Q,Справочно!$C26,РПЗ!$L:$L)</f>
        <v>0</v>
      </c>
      <c r="E30" s="420">
        <f t="shared" si="1"/>
        <v>0</v>
      </c>
      <c r="G30" s="183">
        <f>COUNTIFS(РПЗ!$Q:$Q,Справочно!$C26,РПЗ!$O:$O,ПП!$G$14)</f>
        <v>0</v>
      </c>
      <c r="H30" s="406">
        <f>SUMIFS(РПЗ!$L:$L,РПЗ!$Q:$Q,Справочно!$C26,РПЗ!$O:$O,$G$14)</f>
        <v>0</v>
      </c>
      <c r="I30" s="184">
        <f>COUNTIFS(РПЗ!$Q:$Q,Справочно!$C26,РПЗ!$O:$O,ПП!$I$14)</f>
        <v>0</v>
      </c>
      <c r="J30" s="406">
        <f>SUMIFS(РПЗ!$L:$L,РПЗ!$Q:$Q,Справочно!$C26,РПЗ!$O:$O,$I$14)</f>
        <v>0</v>
      </c>
      <c r="K30" s="184">
        <f>COUNTIFS(РПЗ!$Q:$Q,Справочно!$C26,РПЗ!$O:$O,ПП!$K$14)</f>
        <v>0</v>
      </c>
      <c r="L30" s="407">
        <f>SUMIFS(РПЗ!$L:$L,РПЗ!$Q:$Q,Справочно!$C26,РПЗ!$O:$O,$K$14)</f>
        <v>0</v>
      </c>
      <c r="M30" s="229">
        <f t="shared" si="2"/>
        <v>0</v>
      </c>
      <c r="N30" s="396">
        <f t="shared" si="3"/>
        <v>0</v>
      </c>
      <c r="O30" s="187">
        <f>COUNTIFS(РПЗ!$Q:$Q,Справочно!$C26,РПЗ!$O:$O,ПП!$O$14)</f>
        <v>0</v>
      </c>
      <c r="P30" s="397">
        <f>SUMIFS(РПЗ!$L:$L,РПЗ!$Q:$Q,Справочно!$C26,РПЗ!$O:$O,$O$14)</f>
        <v>0</v>
      </c>
      <c r="Q30" s="188">
        <f>COUNTIFS(РПЗ!$Q:$Q,Справочно!$C26,РПЗ!$O:$O,ПП!$Q$14)</f>
        <v>0</v>
      </c>
      <c r="R30" s="397">
        <f>SUMIFS(РПЗ!$L:$L,РПЗ!$Q:$Q,Справочно!$C26,РПЗ!$O:$O,$Q$14)</f>
        <v>0</v>
      </c>
      <c r="S30" s="188">
        <f>COUNTIFS(РПЗ!$Q:$Q,Справочно!$C26,РПЗ!$O:$O,ПП!$S$14)</f>
        <v>0</v>
      </c>
      <c r="T30" s="398">
        <f>SUMIFS(РПЗ!$L:$L,РПЗ!$Q:$Q,Справочно!$C26,РПЗ!$O:$O,$S$14)</f>
        <v>0</v>
      </c>
      <c r="U30" s="233">
        <f t="shared" si="4"/>
        <v>0</v>
      </c>
      <c r="V30" s="399">
        <f t="shared" si="5"/>
        <v>0</v>
      </c>
      <c r="W30" s="178">
        <f>COUNTIFS(РПЗ!$Q:$Q,Справочно!$C26,РПЗ!$O:$O,ПП!$W$14)</f>
        <v>0</v>
      </c>
      <c r="X30" s="400">
        <f>SUMIFS(РПЗ!$L:$L,РПЗ!$Q:$Q,Справочно!$C26,РПЗ!$O:$O,$W$14)</f>
        <v>0</v>
      </c>
      <c r="Y30" s="179">
        <f>COUNTIFS(РПЗ!$Q:$Q,Справочно!$C26,РПЗ!$O:$O,ПП!$Y$14)</f>
        <v>0</v>
      </c>
      <c r="Z30" s="400">
        <f>SUMIFS(РПЗ!$L:$L,РПЗ!$Q:$Q,Справочно!$C26,РПЗ!$O:$O,$Y$14)</f>
        <v>0</v>
      </c>
      <c r="AA30" s="179">
        <f>COUNTIFS(РПЗ!$Q:$Q,Справочно!$C26,РПЗ!$O:$O,ПП!$AA$14)</f>
        <v>0</v>
      </c>
      <c r="AB30" s="401">
        <f>SUMIFS(РПЗ!$L:$L,РПЗ!$Q:$Q,Справочно!$C26,РПЗ!$O:$O,$AA$14)</f>
        <v>0</v>
      </c>
      <c r="AC30" s="234">
        <f t="shared" si="6"/>
        <v>0</v>
      </c>
      <c r="AD30" s="402">
        <f t="shared" si="7"/>
        <v>0</v>
      </c>
      <c r="AE30" s="190">
        <f>COUNTIFS(РПЗ!$Q:$Q,Справочно!$C26,РПЗ!$O:$O,ПП!$AE$14)</f>
        <v>0</v>
      </c>
      <c r="AF30" s="403">
        <f>SUMIFS(РПЗ!$L:$L,РПЗ!$Q:$Q,Справочно!$C26,РПЗ!$O:$O,$AE$14)</f>
        <v>0</v>
      </c>
      <c r="AG30" s="191">
        <f>COUNTIFS(РПЗ!$Q:$Q,Справочно!$C26,РПЗ!$O:$O,ПП!$AG$14)</f>
        <v>0</v>
      </c>
      <c r="AH30" s="403">
        <f>SUMIFS(РПЗ!$L:$L,РПЗ!$Q:$Q,Справочно!$C26,РПЗ!$O:$O,$AG$14)</f>
        <v>0</v>
      </c>
      <c r="AI30" s="191">
        <f>COUNTIFS(РПЗ!$Q:$Q,Справочно!$C26,РПЗ!$O:$O,ПП!$AI$14)</f>
        <v>0</v>
      </c>
      <c r="AJ30" s="404">
        <f>SUMIFS(РПЗ!$L:$L,РПЗ!$Q:$Q,Справочно!$C26,РПЗ!$O:$O,$AI$14)</f>
        <v>0</v>
      </c>
      <c r="AK30" s="238">
        <f t="shared" si="8"/>
        <v>0</v>
      </c>
      <c r="AL30" s="405">
        <f t="shared" si="9"/>
        <v>0</v>
      </c>
    </row>
    <row r="31" spans="1:38" ht="13.5" thickBot="1" x14ac:dyDescent="0.25">
      <c r="A31" s="86" t="s">
        <v>258</v>
      </c>
      <c r="B31" s="356">
        <f>COUNTIF(РПЗ!$Q:$Q,Справочно!$C27)</f>
        <v>0</v>
      </c>
      <c r="C31" s="418">
        <f t="shared" si="0"/>
        <v>0</v>
      </c>
      <c r="D31" s="421">
        <f>SUMIF(РПЗ!$Q:$Q,Справочно!$C27,РПЗ!$L:$L)</f>
        <v>0</v>
      </c>
      <c r="E31" s="420">
        <f t="shared" si="1"/>
        <v>0</v>
      </c>
      <c r="G31" s="183">
        <f>COUNTIFS(РПЗ!$Q:$Q,Справочно!$C27,РПЗ!$O:$O,ПП!$G$14)</f>
        <v>0</v>
      </c>
      <c r="H31" s="406">
        <f>SUMIFS(РПЗ!$L:$L,РПЗ!$Q:$Q,Справочно!$C27,РПЗ!$O:$O,$G$14)</f>
        <v>0</v>
      </c>
      <c r="I31" s="184">
        <f>COUNTIFS(РПЗ!$Q:$Q,Справочно!$C27,РПЗ!$O:$O,ПП!$I$14)</f>
        <v>0</v>
      </c>
      <c r="J31" s="406">
        <f>SUMIFS(РПЗ!$L:$L,РПЗ!$Q:$Q,Справочно!$C27,РПЗ!$O:$O,$I$14)</f>
        <v>0</v>
      </c>
      <c r="K31" s="184">
        <f>COUNTIFS(РПЗ!$Q:$Q,Справочно!$C27,РПЗ!$O:$O,ПП!$K$14)</f>
        <v>0</v>
      </c>
      <c r="L31" s="407">
        <f>SUMIFS(РПЗ!$L:$L,РПЗ!$Q:$Q,Справочно!$C27,РПЗ!$O:$O,$K$14)</f>
        <v>0</v>
      </c>
      <c r="M31" s="229">
        <f t="shared" si="2"/>
        <v>0</v>
      </c>
      <c r="N31" s="396">
        <f t="shared" si="3"/>
        <v>0</v>
      </c>
      <c r="O31" s="187">
        <f>COUNTIFS(РПЗ!$Q:$Q,Справочно!$C27,РПЗ!$O:$O,ПП!$O$14)</f>
        <v>0</v>
      </c>
      <c r="P31" s="397">
        <f>SUMIFS(РПЗ!$L:$L,РПЗ!$Q:$Q,Справочно!$C27,РПЗ!$O:$O,$O$14)</f>
        <v>0</v>
      </c>
      <c r="Q31" s="188">
        <f>COUNTIFS(РПЗ!$Q:$Q,Справочно!$C27,РПЗ!$O:$O,ПП!$Q$14)</f>
        <v>0</v>
      </c>
      <c r="R31" s="397">
        <f>SUMIFS(РПЗ!$L:$L,РПЗ!$Q:$Q,Справочно!$C27,РПЗ!$O:$O,$Q$14)</f>
        <v>0</v>
      </c>
      <c r="S31" s="188">
        <f>COUNTIFS(РПЗ!$Q:$Q,Справочно!$C27,РПЗ!$O:$O,ПП!$S$14)</f>
        <v>0</v>
      </c>
      <c r="T31" s="398">
        <f>SUMIFS(РПЗ!$L:$L,РПЗ!$Q:$Q,Справочно!$C27,РПЗ!$O:$O,$S$14)</f>
        <v>0</v>
      </c>
      <c r="U31" s="233">
        <f t="shared" si="4"/>
        <v>0</v>
      </c>
      <c r="V31" s="399">
        <f t="shared" si="5"/>
        <v>0</v>
      </c>
      <c r="W31" s="178">
        <f>COUNTIFS(РПЗ!$Q:$Q,Справочно!$C27,РПЗ!$O:$O,ПП!$W$14)</f>
        <v>0</v>
      </c>
      <c r="X31" s="400">
        <f>SUMIFS(РПЗ!$L:$L,РПЗ!$Q:$Q,Справочно!$C27,РПЗ!$O:$O,$W$14)</f>
        <v>0</v>
      </c>
      <c r="Y31" s="179">
        <f>COUNTIFS(РПЗ!$Q:$Q,Справочно!$C27,РПЗ!$O:$O,ПП!$Y$14)</f>
        <v>0</v>
      </c>
      <c r="Z31" s="400">
        <f>SUMIFS(РПЗ!$L:$L,РПЗ!$Q:$Q,Справочно!$C27,РПЗ!$O:$O,$Y$14)</f>
        <v>0</v>
      </c>
      <c r="AA31" s="179">
        <f>COUNTIFS(РПЗ!$Q:$Q,Справочно!$C27,РПЗ!$O:$O,ПП!$AA$14)</f>
        <v>0</v>
      </c>
      <c r="AB31" s="401">
        <f>SUMIFS(РПЗ!$L:$L,РПЗ!$Q:$Q,Справочно!$C27,РПЗ!$O:$O,$AA$14)</f>
        <v>0</v>
      </c>
      <c r="AC31" s="234">
        <f t="shared" si="6"/>
        <v>0</v>
      </c>
      <c r="AD31" s="402">
        <f t="shared" si="7"/>
        <v>0</v>
      </c>
      <c r="AE31" s="190">
        <f>COUNTIFS(РПЗ!$Q:$Q,Справочно!$C27,РПЗ!$O:$O,ПП!$AE$14)</f>
        <v>0</v>
      </c>
      <c r="AF31" s="403">
        <f>SUMIFS(РПЗ!$L:$L,РПЗ!$Q:$Q,Справочно!$C27,РПЗ!$O:$O,$AE$14)</f>
        <v>0</v>
      </c>
      <c r="AG31" s="191">
        <f>COUNTIFS(РПЗ!$Q:$Q,Справочно!$C27,РПЗ!$O:$O,ПП!$AG$14)</f>
        <v>0</v>
      </c>
      <c r="AH31" s="403">
        <f>SUMIFS(РПЗ!$L:$L,РПЗ!$Q:$Q,Справочно!$C27,РПЗ!$O:$O,$AG$14)</f>
        <v>0</v>
      </c>
      <c r="AI31" s="191">
        <f>COUNTIFS(РПЗ!$Q:$Q,Справочно!$C27,РПЗ!$O:$O,ПП!$AI$14)</f>
        <v>0</v>
      </c>
      <c r="AJ31" s="404">
        <f>SUMIFS(РПЗ!$L:$L,РПЗ!$Q:$Q,Справочно!$C27,РПЗ!$O:$O,$AI$14)</f>
        <v>0</v>
      </c>
      <c r="AK31" s="238">
        <f t="shared" si="8"/>
        <v>0</v>
      </c>
      <c r="AL31" s="405">
        <f t="shared" si="9"/>
        <v>0</v>
      </c>
    </row>
    <row r="32" spans="1:38" ht="13.5" thickBot="1" x14ac:dyDescent="0.25">
      <c r="A32" s="86" t="s">
        <v>171</v>
      </c>
      <c r="B32" s="356">
        <f>COUNTIF(РПЗ!$Q:$Q,Справочно!$C28)</f>
        <v>0</v>
      </c>
      <c r="C32" s="418">
        <f t="shared" si="0"/>
        <v>0</v>
      </c>
      <c r="D32" s="421">
        <f>SUMIF(РПЗ!$Q:$Q,Справочно!$C28,РПЗ!$L:$L)</f>
        <v>0</v>
      </c>
      <c r="E32" s="420">
        <f t="shared" si="1"/>
        <v>0</v>
      </c>
      <c r="G32" s="183">
        <f>COUNTIFS(РПЗ!$Q:$Q,Справочно!$C28,РПЗ!$O:$O,ПП!$G$14)</f>
        <v>0</v>
      </c>
      <c r="H32" s="406">
        <f>SUMIFS(РПЗ!$L:$L,РПЗ!$Q:$Q,Справочно!$C28,РПЗ!$O:$O,$G$14)</f>
        <v>0</v>
      </c>
      <c r="I32" s="184">
        <f>COUNTIFS(РПЗ!$Q:$Q,Справочно!$C28,РПЗ!$O:$O,ПП!$I$14)</f>
        <v>0</v>
      </c>
      <c r="J32" s="406">
        <f>SUMIFS(РПЗ!$L:$L,РПЗ!$Q:$Q,Справочно!$C28,РПЗ!$O:$O,$I$14)</f>
        <v>0</v>
      </c>
      <c r="K32" s="184">
        <f>COUNTIFS(РПЗ!$Q:$Q,Справочно!$C28,РПЗ!$O:$O,ПП!$K$14)</f>
        <v>0</v>
      </c>
      <c r="L32" s="407">
        <f>SUMIFS(РПЗ!$L:$L,РПЗ!$Q:$Q,Справочно!$C28,РПЗ!$O:$O,$K$14)</f>
        <v>0</v>
      </c>
      <c r="M32" s="229">
        <f t="shared" si="2"/>
        <v>0</v>
      </c>
      <c r="N32" s="396">
        <f t="shared" si="3"/>
        <v>0</v>
      </c>
      <c r="O32" s="187">
        <f>COUNTIFS(РПЗ!$Q:$Q,Справочно!$C28,РПЗ!$O:$O,ПП!$O$14)</f>
        <v>0</v>
      </c>
      <c r="P32" s="397">
        <f>SUMIFS(РПЗ!$L:$L,РПЗ!$Q:$Q,Справочно!$C28,РПЗ!$O:$O,$O$14)</f>
        <v>0</v>
      </c>
      <c r="Q32" s="188">
        <f>COUNTIFS(РПЗ!$Q:$Q,Справочно!$C28,РПЗ!$O:$O,ПП!$Q$14)</f>
        <v>0</v>
      </c>
      <c r="R32" s="397">
        <f>SUMIFS(РПЗ!$L:$L,РПЗ!$Q:$Q,Справочно!$C28,РПЗ!$O:$O,$Q$14)</f>
        <v>0</v>
      </c>
      <c r="S32" s="188">
        <f>COUNTIFS(РПЗ!$Q:$Q,Справочно!$C28,РПЗ!$O:$O,ПП!$S$14)</f>
        <v>0</v>
      </c>
      <c r="T32" s="398">
        <f>SUMIFS(РПЗ!$L:$L,РПЗ!$Q:$Q,Справочно!$C28,РПЗ!$O:$O,$S$14)</f>
        <v>0</v>
      </c>
      <c r="U32" s="233">
        <f t="shared" si="4"/>
        <v>0</v>
      </c>
      <c r="V32" s="399">
        <f t="shared" si="5"/>
        <v>0</v>
      </c>
      <c r="W32" s="178">
        <f>COUNTIFS(РПЗ!$Q:$Q,Справочно!$C28,РПЗ!$O:$O,ПП!$W$14)</f>
        <v>0</v>
      </c>
      <c r="X32" s="400">
        <f>SUMIFS(РПЗ!$L:$L,РПЗ!$Q:$Q,Справочно!$C28,РПЗ!$O:$O,$W$14)</f>
        <v>0</v>
      </c>
      <c r="Y32" s="179">
        <f>COUNTIFS(РПЗ!$Q:$Q,Справочно!$C28,РПЗ!$O:$O,ПП!$Y$14)</f>
        <v>0</v>
      </c>
      <c r="Z32" s="400">
        <f>SUMIFS(РПЗ!$L:$L,РПЗ!$Q:$Q,Справочно!$C28,РПЗ!$O:$O,$Y$14)</f>
        <v>0</v>
      </c>
      <c r="AA32" s="179">
        <f>COUNTIFS(РПЗ!$Q:$Q,Справочно!$C28,РПЗ!$O:$O,ПП!$AA$14)</f>
        <v>0</v>
      </c>
      <c r="AB32" s="401">
        <f>SUMIFS(РПЗ!$L:$L,РПЗ!$Q:$Q,Справочно!$C28,РПЗ!$O:$O,$AA$14)</f>
        <v>0</v>
      </c>
      <c r="AC32" s="234">
        <f t="shared" si="6"/>
        <v>0</v>
      </c>
      <c r="AD32" s="402">
        <f t="shared" si="7"/>
        <v>0</v>
      </c>
      <c r="AE32" s="190">
        <f>COUNTIFS(РПЗ!$Q:$Q,Справочно!$C28,РПЗ!$O:$O,ПП!$AE$14)</f>
        <v>0</v>
      </c>
      <c r="AF32" s="403">
        <f>SUMIFS(РПЗ!$L:$L,РПЗ!$Q:$Q,Справочно!$C28,РПЗ!$O:$O,$AE$14)</f>
        <v>0</v>
      </c>
      <c r="AG32" s="191">
        <f>COUNTIFS(РПЗ!$Q:$Q,Справочно!$C28,РПЗ!$O:$O,ПП!$AG$14)</f>
        <v>0</v>
      </c>
      <c r="AH32" s="403">
        <f>SUMIFS(РПЗ!$L:$L,РПЗ!$Q:$Q,Справочно!$C28,РПЗ!$O:$O,$AG$14)</f>
        <v>0</v>
      </c>
      <c r="AI32" s="191">
        <f>COUNTIFS(РПЗ!$Q:$Q,Справочно!$C28,РПЗ!$O:$O,ПП!$AI$14)</f>
        <v>0</v>
      </c>
      <c r="AJ32" s="404">
        <f>SUMIFS(РПЗ!$L:$L,РПЗ!$Q:$Q,Справочно!$C28,РПЗ!$O:$O,$AI$14)</f>
        <v>0</v>
      </c>
      <c r="AK32" s="238">
        <f t="shared" si="8"/>
        <v>0</v>
      </c>
      <c r="AL32" s="405">
        <f t="shared" si="9"/>
        <v>0</v>
      </c>
    </row>
    <row r="33" spans="1:38" ht="13.5" thickBot="1" x14ac:dyDescent="0.25">
      <c r="A33" s="86" t="s">
        <v>259</v>
      </c>
      <c r="B33" s="356">
        <f>COUNTIF(РПЗ!$Q:$Q,Справочно!$C29)</f>
        <v>0</v>
      </c>
      <c r="C33" s="418">
        <f t="shared" si="0"/>
        <v>0</v>
      </c>
      <c r="D33" s="421">
        <f>SUMIF(РПЗ!$Q:$Q,Справочно!$C29,РПЗ!$L:$L)</f>
        <v>0</v>
      </c>
      <c r="E33" s="420">
        <f t="shared" si="1"/>
        <v>0</v>
      </c>
      <c r="G33" s="183">
        <f>COUNTIFS(РПЗ!$Q:$Q,Справочно!$C29,РПЗ!$O:$O,ПП!$G$14)</f>
        <v>0</v>
      </c>
      <c r="H33" s="406">
        <f>SUMIFS(РПЗ!$L:$L,РПЗ!$Q:$Q,Справочно!$C29,РПЗ!$O:$O,$G$14)</f>
        <v>0</v>
      </c>
      <c r="I33" s="184">
        <f>COUNTIFS(РПЗ!$Q:$Q,Справочно!$C29,РПЗ!$O:$O,ПП!$I$14)</f>
        <v>0</v>
      </c>
      <c r="J33" s="406">
        <f>SUMIFS(РПЗ!$L:$L,РПЗ!$Q:$Q,Справочно!$C29,РПЗ!$O:$O,$I$14)</f>
        <v>0</v>
      </c>
      <c r="K33" s="184">
        <f>COUNTIFS(РПЗ!$Q:$Q,Справочно!$C29,РПЗ!$O:$O,ПП!$K$14)</f>
        <v>0</v>
      </c>
      <c r="L33" s="407">
        <f>SUMIFS(РПЗ!$L:$L,РПЗ!$Q:$Q,Справочно!$C29,РПЗ!$O:$O,$K$14)</f>
        <v>0</v>
      </c>
      <c r="M33" s="229">
        <f t="shared" si="2"/>
        <v>0</v>
      </c>
      <c r="N33" s="396">
        <f t="shared" si="3"/>
        <v>0</v>
      </c>
      <c r="O33" s="187">
        <f>COUNTIFS(РПЗ!$Q:$Q,Справочно!$C29,РПЗ!$O:$O,ПП!$O$14)</f>
        <v>0</v>
      </c>
      <c r="P33" s="397">
        <f>SUMIFS(РПЗ!$L:$L,РПЗ!$Q:$Q,Справочно!$C29,РПЗ!$O:$O,$O$14)</f>
        <v>0</v>
      </c>
      <c r="Q33" s="188">
        <f>COUNTIFS(РПЗ!$Q:$Q,Справочно!$C29,РПЗ!$O:$O,ПП!$Q$14)</f>
        <v>0</v>
      </c>
      <c r="R33" s="397">
        <f>SUMIFS(РПЗ!$L:$L,РПЗ!$Q:$Q,Справочно!$C29,РПЗ!$O:$O,$Q$14)</f>
        <v>0</v>
      </c>
      <c r="S33" s="188">
        <f>COUNTIFS(РПЗ!$Q:$Q,Справочно!$C29,РПЗ!$O:$O,ПП!$S$14)</f>
        <v>0</v>
      </c>
      <c r="T33" s="398">
        <f>SUMIFS(РПЗ!$L:$L,РПЗ!$Q:$Q,Справочно!$C29,РПЗ!$O:$O,$S$14)</f>
        <v>0</v>
      </c>
      <c r="U33" s="233">
        <f t="shared" si="4"/>
        <v>0</v>
      </c>
      <c r="V33" s="399">
        <f t="shared" si="5"/>
        <v>0</v>
      </c>
      <c r="W33" s="178">
        <f>COUNTIFS(РПЗ!$Q:$Q,Справочно!$C29,РПЗ!$O:$O,ПП!$W$14)</f>
        <v>0</v>
      </c>
      <c r="X33" s="400">
        <f>SUMIFS(РПЗ!$L:$L,РПЗ!$Q:$Q,Справочно!$C29,РПЗ!$O:$O,$W$14)</f>
        <v>0</v>
      </c>
      <c r="Y33" s="179">
        <f>COUNTIFS(РПЗ!$Q:$Q,Справочно!$C29,РПЗ!$O:$O,ПП!$Y$14)</f>
        <v>0</v>
      </c>
      <c r="Z33" s="400">
        <f>SUMIFS(РПЗ!$L:$L,РПЗ!$Q:$Q,Справочно!$C29,РПЗ!$O:$O,$Y$14)</f>
        <v>0</v>
      </c>
      <c r="AA33" s="179">
        <f>COUNTIFS(РПЗ!$Q:$Q,Справочно!$C29,РПЗ!$O:$O,ПП!$AA$14)</f>
        <v>0</v>
      </c>
      <c r="AB33" s="401">
        <f>SUMIFS(РПЗ!$L:$L,РПЗ!$Q:$Q,Справочно!$C29,РПЗ!$O:$O,$AA$14)</f>
        <v>0</v>
      </c>
      <c r="AC33" s="234">
        <f t="shared" si="6"/>
        <v>0</v>
      </c>
      <c r="AD33" s="402">
        <f t="shared" si="7"/>
        <v>0</v>
      </c>
      <c r="AE33" s="190">
        <f>COUNTIFS(РПЗ!$Q:$Q,Справочно!$C29,РПЗ!$O:$O,ПП!$AE$14)</f>
        <v>0</v>
      </c>
      <c r="AF33" s="403">
        <f>SUMIFS(РПЗ!$L:$L,РПЗ!$Q:$Q,Справочно!$C29,РПЗ!$O:$O,$AE$14)</f>
        <v>0</v>
      </c>
      <c r="AG33" s="191">
        <f>COUNTIFS(РПЗ!$Q:$Q,Справочно!$C29,РПЗ!$O:$O,ПП!$AG$14)</f>
        <v>0</v>
      </c>
      <c r="AH33" s="403">
        <f>SUMIFS(РПЗ!$L:$L,РПЗ!$Q:$Q,Справочно!$C29,РПЗ!$O:$O,$AG$14)</f>
        <v>0</v>
      </c>
      <c r="AI33" s="191">
        <f>COUNTIFS(РПЗ!$Q:$Q,Справочно!$C29,РПЗ!$O:$O,ПП!$AI$14)</f>
        <v>0</v>
      </c>
      <c r="AJ33" s="404">
        <f>SUMIFS(РПЗ!$L:$L,РПЗ!$Q:$Q,Справочно!$C29,РПЗ!$O:$O,$AI$14)</f>
        <v>0</v>
      </c>
      <c r="AK33" s="238">
        <f t="shared" si="8"/>
        <v>0</v>
      </c>
      <c r="AL33" s="405">
        <f t="shared" si="9"/>
        <v>0</v>
      </c>
    </row>
    <row r="34" spans="1:38" ht="13.5" thickBot="1" x14ac:dyDescent="0.25">
      <c r="A34" s="86" t="s">
        <v>172</v>
      </c>
      <c r="B34" s="356">
        <f>COUNTIF(РПЗ!$Q:$Q,Справочно!$C30)</f>
        <v>0</v>
      </c>
      <c r="C34" s="418">
        <f t="shared" si="0"/>
        <v>0</v>
      </c>
      <c r="D34" s="421">
        <f>SUMIF(РПЗ!$Q:$Q,Справочно!$C30,РПЗ!$L:$L)</f>
        <v>0</v>
      </c>
      <c r="E34" s="420">
        <f t="shared" si="1"/>
        <v>0</v>
      </c>
      <c r="G34" s="183">
        <f>COUNTIFS(РПЗ!$Q:$Q,Справочно!$C30,РПЗ!$O:$O,ПП!$G$14)</f>
        <v>0</v>
      </c>
      <c r="H34" s="406">
        <f>SUMIFS(РПЗ!$L:$L,РПЗ!$Q:$Q,Справочно!$C30,РПЗ!$O:$O,$G$14)</f>
        <v>0</v>
      </c>
      <c r="I34" s="184">
        <f>COUNTIFS(РПЗ!$Q:$Q,Справочно!$C30,РПЗ!$O:$O,ПП!$I$14)</f>
        <v>0</v>
      </c>
      <c r="J34" s="406">
        <f>SUMIFS(РПЗ!$L:$L,РПЗ!$Q:$Q,Справочно!$C30,РПЗ!$O:$O,$I$14)</f>
        <v>0</v>
      </c>
      <c r="K34" s="184">
        <f>COUNTIFS(РПЗ!$Q:$Q,Справочно!$C30,РПЗ!$O:$O,ПП!$K$14)</f>
        <v>0</v>
      </c>
      <c r="L34" s="407">
        <f>SUMIFS(РПЗ!$L:$L,РПЗ!$Q:$Q,Справочно!$C30,РПЗ!$O:$O,$K$14)</f>
        <v>0</v>
      </c>
      <c r="M34" s="229">
        <f t="shared" si="2"/>
        <v>0</v>
      </c>
      <c r="N34" s="396">
        <f t="shared" si="3"/>
        <v>0</v>
      </c>
      <c r="O34" s="187">
        <f>COUNTIFS(РПЗ!$Q:$Q,Справочно!$C30,РПЗ!$O:$O,ПП!$O$14)</f>
        <v>0</v>
      </c>
      <c r="P34" s="397">
        <f>SUMIFS(РПЗ!$L:$L,РПЗ!$Q:$Q,Справочно!$C30,РПЗ!$O:$O,$O$14)</f>
        <v>0</v>
      </c>
      <c r="Q34" s="188">
        <f>COUNTIFS(РПЗ!$Q:$Q,Справочно!$C30,РПЗ!$O:$O,ПП!$Q$14)</f>
        <v>0</v>
      </c>
      <c r="R34" s="397">
        <f>SUMIFS(РПЗ!$L:$L,РПЗ!$Q:$Q,Справочно!$C30,РПЗ!$O:$O,$Q$14)</f>
        <v>0</v>
      </c>
      <c r="S34" s="188">
        <f>COUNTIFS(РПЗ!$Q:$Q,Справочно!$C30,РПЗ!$O:$O,ПП!$S$14)</f>
        <v>0</v>
      </c>
      <c r="T34" s="398">
        <f>SUMIFS(РПЗ!$L:$L,РПЗ!$Q:$Q,Справочно!$C30,РПЗ!$O:$O,$S$14)</f>
        <v>0</v>
      </c>
      <c r="U34" s="233">
        <f t="shared" si="4"/>
        <v>0</v>
      </c>
      <c r="V34" s="399">
        <f t="shared" si="5"/>
        <v>0</v>
      </c>
      <c r="W34" s="178">
        <f>COUNTIFS(РПЗ!$Q:$Q,Справочно!$C30,РПЗ!$O:$O,ПП!$W$14)</f>
        <v>0</v>
      </c>
      <c r="X34" s="400">
        <f>SUMIFS(РПЗ!$L:$L,РПЗ!$Q:$Q,Справочно!$C30,РПЗ!$O:$O,$W$14)</f>
        <v>0</v>
      </c>
      <c r="Y34" s="179">
        <f>COUNTIFS(РПЗ!$Q:$Q,Справочно!$C30,РПЗ!$O:$O,ПП!$Y$14)</f>
        <v>0</v>
      </c>
      <c r="Z34" s="400">
        <f>SUMIFS(РПЗ!$L:$L,РПЗ!$Q:$Q,Справочно!$C30,РПЗ!$O:$O,$Y$14)</f>
        <v>0</v>
      </c>
      <c r="AA34" s="179">
        <f>COUNTIFS(РПЗ!$Q:$Q,Справочно!$C30,РПЗ!$O:$O,ПП!$AA$14)</f>
        <v>0</v>
      </c>
      <c r="AB34" s="401">
        <f>SUMIFS(РПЗ!$L:$L,РПЗ!$Q:$Q,Справочно!$C30,РПЗ!$O:$O,$AA$14)</f>
        <v>0</v>
      </c>
      <c r="AC34" s="234">
        <f t="shared" si="6"/>
        <v>0</v>
      </c>
      <c r="AD34" s="402">
        <f t="shared" si="7"/>
        <v>0</v>
      </c>
      <c r="AE34" s="190">
        <f>COUNTIFS(РПЗ!$Q:$Q,Справочно!$C30,РПЗ!$O:$O,ПП!$AE$14)</f>
        <v>0</v>
      </c>
      <c r="AF34" s="403">
        <f>SUMIFS(РПЗ!$L:$L,РПЗ!$Q:$Q,Справочно!$C30,РПЗ!$O:$O,$AE$14)</f>
        <v>0</v>
      </c>
      <c r="AG34" s="191">
        <f>COUNTIFS(РПЗ!$Q:$Q,Справочно!$C30,РПЗ!$O:$O,ПП!$AG$14)</f>
        <v>0</v>
      </c>
      <c r="AH34" s="403">
        <f>SUMIFS(РПЗ!$L:$L,РПЗ!$Q:$Q,Справочно!$C30,РПЗ!$O:$O,$AG$14)</f>
        <v>0</v>
      </c>
      <c r="AI34" s="191">
        <f>COUNTIFS(РПЗ!$Q:$Q,Справочно!$C30,РПЗ!$O:$O,ПП!$AI$14)</f>
        <v>0</v>
      </c>
      <c r="AJ34" s="404">
        <f>SUMIFS(РПЗ!$L:$L,РПЗ!$Q:$Q,Справочно!$C30,РПЗ!$O:$O,$AI$14)</f>
        <v>0</v>
      </c>
      <c r="AK34" s="238">
        <f t="shared" si="8"/>
        <v>0</v>
      </c>
      <c r="AL34" s="405">
        <f t="shared" si="9"/>
        <v>0</v>
      </c>
    </row>
    <row r="35" spans="1:38" ht="13.5" thickBot="1" x14ac:dyDescent="0.25">
      <c r="A35" s="86" t="s">
        <v>260</v>
      </c>
      <c r="B35" s="72">
        <f>COUNTIF(РПЗ!$Q:$Q,Справочно!$C31)</f>
        <v>0</v>
      </c>
      <c r="C35" s="418">
        <f t="shared" si="0"/>
        <v>0</v>
      </c>
      <c r="D35" s="422">
        <f>SUMIF(РПЗ!$Q:$Q,Справочно!$C31,РПЗ!$L:$L)</f>
        <v>0</v>
      </c>
      <c r="E35" s="420">
        <f t="shared" si="1"/>
        <v>0</v>
      </c>
      <c r="G35" s="185">
        <f>COUNTIFS(РПЗ!$Q:$Q,Справочно!$C31,РПЗ!$O:$O,ПП!$G$14)</f>
        <v>0</v>
      </c>
      <c r="H35" s="408">
        <f>SUMIFS(РПЗ!$L:$L,РПЗ!$Q:$Q,Справочно!$C31,РПЗ!$O:$O,$G$14)</f>
        <v>0</v>
      </c>
      <c r="I35" s="186">
        <f>COUNTIFS(РПЗ!$Q:$Q,Справочно!$C31,РПЗ!$O:$O,ПП!$I$14)</f>
        <v>0</v>
      </c>
      <c r="J35" s="408">
        <f>SUMIFS(РПЗ!$L:$L,РПЗ!$Q:$Q,Справочно!$C31,РПЗ!$O:$O,$I$14)</f>
        <v>0</v>
      </c>
      <c r="K35" s="186">
        <f>COUNTIFS(РПЗ!$Q:$Q,Справочно!$C31,РПЗ!$O:$O,ПП!$K$14)</f>
        <v>0</v>
      </c>
      <c r="L35" s="409">
        <f>SUMIFS(РПЗ!$L:$L,РПЗ!$Q:$Q,Справочно!$C31,РПЗ!$O:$O,$K$14)</f>
        <v>0</v>
      </c>
      <c r="M35" s="229">
        <f t="shared" si="2"/>
        <v>0</v>
      </c>
      <c r="N35" s="396">
        <f t="shared" si="3"/>
        <v>0</v>
      </c>
      <c r="O35" s="187">
        <f>COUNTIFS(РПЗ!$Q:$Q,Справочно!$C31,РПЗ!$O:$O,ПП!$O$14)</f>
        <v>0</v>
      </c>
      <c r="P35" s="397">
        <f>SUMIFS(РПЗ!$L:$L,РПЗ!$Q:$Q,Справочно!$C31,РПЗ!$O:$O,$O$14)</f>
        <v>0</v>
      </c>
      <c r="Q35" s="188">
        <f>COUNTIFS(РПЗ!$Q:$Q,Справочно!$C31,РПЗ!$O:$O,ПП!$Q$14)</f>
        <v>0</v>
      </c>
      <c r="R35" s="397">
        <f>SUMIFS(РПЗ!$L:$L,РПЗ!$Q:$Q,Справочно!$C31,РПЗ!$O:$O,$Q$14)</f>
        <v>0</v>
      </c>
      <c r="S35" s="188">
        <f>COUNTIFS(РПЗ!$Q:$Q,Справочно!$C31,РПЗ!$O:$O,ПП!$S$14)</f>
        <v>0</v>
      </c>
      <c r="T35" s="410">
        <f>SUMIFS(РПЗ!$L:$L,РПЗ!$Q:$Q,Справочно!$C31,РПЗ!$O:$O,$S$14)</f>
        <v>0</v>
      </c>
      <c r="U35" s="233">
        <f t="shared" si="4"/>
        <v>0</v>
      </c>
      <c r="V35" s="399">
        <f t="shared" si="5"/>
        <v>0</v>
      </c>
      <c r="W35" s="178">
        <f>COUNTIFS(РПЗ!$Q:$Q,Справочно!$C31,РПЗ!$O:$O,ПП!$W$14)</f>
        <v>0</v>
      </c>
      <c r="X35" s="400">
        <f>SUMIFS(РПЗ!$L:$L,РПЗ!$Q:$Q,Справочно!$C31,РПЗ!$O:$O,$W$14)</f>
        <v>0</v>
      </c>
      <c r="Y35" s="179">
        <f>COUNTIFS(РПЗ!$Q:$Q,Справочно!$C31,РПЗ!$O:$O,ПП!$Y$14)</f>
        <v>0</v>
      </c>
      <c r="Z35" s="400">
        <f>SUMIFS(РПЗ!$L:$L,РПЗ!$Q:$Q,Справочно!$C31,РПЗ!$O:$O,$Y$14)</f>
        <v>0</v>
      </c>
      <c r="AA35" s="179">
        <f>COUNTIFS(РПЗ!$Q:$Q,Справочно!$C31,РПЗ!$O:$O,ПП!$AA$14)</f>
        <v>0</v>
      </c>
      <c r="AB35" s="401">
        <f>SUMIFS(РПЗ!$L:$L,РПЗ!$Q:$Q,Справочно!$C31,РПЗ!$O:$O,$AA$14)</f>
        <v>0</v>
      </c>
      <c r="AC35" s="234">
        <f t="shared" si="6"/>
        <v>0</v>
      </c>
      <c r="AD35" s="402">
        <f t="shared" si="7"/>
        <v>0</v>
      </c>
      <c r="AE35" s="190">
        <f>COUNTIFS(РПЗ!$Q:$Q,Справочно!$C31,РПЗ!$O:$O,ПП!$AE$14)</f>
        <v>0</v>
      </c>
      <c r="AF35" s="403">
        <f>SUMIFS(РПЗ!$L:$L,РПЗ!$Q:$Q,Справочно!$C31,РПЗ!$O:$O,$AE$14)</f>
        <v>0</v>
      </c>
      <c r="AG35" s="191">
        <f>COUNTIFS(РПЗ!$Q:$Q,Справочно!$C31,РПЗ!$O:$O,ПП!$AG$14)</f>
        <v>0</v>
      </c>
      <c r="AH35" s="403">
        <f>SUMIFS(РПЗ!$L:$L,РПЗ!$Q:$Q,Справочно!$C31,РПЗ!$O:$O,$AG$14)</f>
        <v>0</v>
      </c>
      <c r="AI35" s="191">
        <f>COUNTIFS(РПЗ!$Q:$Q,Справочно!$C31,РПЗ!$O:$O,ПП!$AI$14)</f>
        <v>0</v>
      </c>
      <c r="AJ35" s="404">
        <f>SUMIFS(РПЗ!$L:$L,РПЗ!$Q:$Q,Справочно!$C31,РПЗ!$O:$O,$AI$14)</f>
        <v>0</v>
      </c>
      <c r="AK35" s="238">
        <f t="shared" si="8"/>
        <v>0</v>
      </c>
      <c r="AL35" s="405">
        <f t="shared" si="9"/>
        <v>0</v>
      </c>
    </row>
    <row r="36" spans="1:38" ht="13.5" thickBot="1" x14ac:dyDescent="0.25">
      <c r="A36" s="67" t="s">
        <v>242</v>
      </c>
      <c r="B36" s="97">
        <f>SUM(B16:B35)</f>
        <v>112</v>
      </c>
      <c r="C36" s="474">
        <f>SUM(C16:C35)</f>
        <v>0.60215053763440862</v>
      </c>
      <c r="D36" s="475">
        <f>SUM(D16:D35)</f>
        <v>285117431.54000002</v>
      </c>
      <c r="E36" s="474">
        <f>SUM(E16:E35)</f>
        <v>0.7015601139256793</v>
      </c>
      <c r="G36" s="68">
        <f t="shared" ref="G36:N36" si="10">SUM(G16:G35)</f>
        <v>0</v>
      </c>
      <c r="H36" s="411">
        <f t="shared" si="10"/>
        <v>0</v>
      </c>
      <c r="I36" s="170">
        <f t="shared" si="10"/>
        <v>0</v>
      </c>
      <c r="J36" s="411">
        <f t="shared" si="10"/>
        <v>0</v>
      </c>
      <c r="K36" s="170">
        <f t="shared" si="10"/>
        <v>0</v>
      </c>
      <c r="L36" s="412">
        <f t="shared" si="10"/>
        <v>0</v>
      </c>
      <c r="M36" s="322">
        <f t="shared" si="10"/>
        <v>0</v>
      </c>
      <c r="N36" s="480">
        <f t="shared" si="10"/>
        <v>0</v>
      </c>
      <c r="O36" s="68">
        <f t="shared" ref="O36" si="11">SUM(O16:O35)</f>
        <v>0</v>
      </c>
      <c r="P36" s="411">
        <f t="shared" ref="P36" si="12">SUM(P16:P35)</f>
        <v>0</v>
      </c>
      <c r="Q36" s="170">
        <f t="shared" ref="Q36" si="13">SUM(Q16:Q35)</f>
        <v>0</v>
      </c>
      <c r="R36" s="411">
        <f t="shared" ref="R36" si="14">SUM(R16:R35)</f>
        <v>0</v>
      </c>
      <c r="S36" s="170">
        <f t="shared" ref="S36" si="15">SUM(S16:S35)</f>
        <v>0</v>
      </c>
      <c r="T36" s="412">
        <f t="shared" ref="T36" si="16">SUM(T16:T35)</f>
        <v>0</v>
      </c>
      <c r="U36" s="322">
        <f t="shared" ref="U36" si="17">SUM(U16:U35)</f>
        <v>0</v>
      </c>
      <c r="V36" s="480">
        <f t="shared" ref="V36" si="18">SUM(V16:V35)</f>
        <v>0</v>
      </c>
      <c r="W36" s="68">
        <f t="shared" ref="W36" si="19">SUM(W16:W35)</f>
        <v>0</v>
      </c>
      <c r="X36" s="411">
        <f t="shared" ref="X36" si="20">SUM(X16:X35)</f>
        <v>0</v>
      </c>
      <c r="Y36" s="170">
        <f t="shared" ref="Y36" si="21">SUM(Y16:Y35)</f>
        <v>0</v>
      </c>
      <c r="Z36" s="411">
        <f t="shared" ref="Z36" si="22">SUM(Z16:Z35)</f>
        <v>0</v>
      </c>
      <c r="AA36" s="170">
        <f t="shared" ref="AA36" si="23">SUM(AA16:AA35)</f>
        <v>0</v>
      </c>
      <c r="AB36" s="412">
        <f t="shared" ref="AB36" si="24">SUM(AB16:AB35)</f>
        <v>0</v>
      </c>
      <c r="AC36" s="322">
        <f t="shared" ref="AC36" si="25">SUM(AC16:AC35)</f>
        <v>0</v>
      </c>
      <c r="AD36" s="480">
        <f t="shared" ref="AD36" si="26">SUM(AD16:AD35)</f>
        <v>0</v>
      </c>
      <c r="AE36" s="68">
        <f t="shared" ref="AE36" si="27">SUM(AE16:AE35)</f>
        <v>0</v>
      </c>
      <c r="AF36" s="411">
        <f t="shared" ref="AF36" si="28">SUM(AF16:AF35)</f>
        <v>0</v>
      </c>
      <c r="AG36" s="170">
        <f t="shared" ref="AG36" si="29">SUM(AG16:AG35)</f>
        <v>0</v>
      </c>
      <c r="AH36" s="411">
        <f t="shared" ref="AH36" si="30">SUM(AH16:AH35)</f>
        <v>0</v>
      </c>
      <c r="AI36" s="170">
        <f t="shared" ref="AI36" si="31">SUM(AI16:AI35)</f>
        <v>0</v>
      </c>
      <c r="AJ36" s="412">
        <f t="shared" ref="AJ36" si="32">SUM(AJ16:AJ35)</f>
        <v>0</v>
      </c>
      <c r="AK36" s="322">
        <f t="shared" ref="AK36" si="33">SUM(AK16:AK35)</f>
        <v>0</v>
      </c>
      <c r="AL36" s="480">
        <f t="shared" ref="AL36" si="34">SUM(AL16:AL35)</f>
        <v>0</v>
      </c>
    </row>
    <row r="37" spans="1:38" ht="13.5" thickBot="1" x14ac:dyDescent="0.25">
      <c r="A37" s="83"/>
      <c r="B37" s="84"/>
      <c r="C37" s="423"/>
      <c r="D37" s="424"/>
      <c r="E37" s="423"/>
      <c r="G37" s="414"/>
      <c r="H37" s="415"/>
      <c r="I37" s="415"/>
      <c r="J37" s="415"/>
      <c r="K37" s="415"/>
      <c r="L37" s="415"/>
      <c r="M37" s="415"/>
      <c r="N37" s="416"/>
      <c r="O37" s="414"/>
      <c r="P37" s="415"/>
      <c r="Q37" s="415"/>
      <c r="R37" s="415"/>
      <c r="S37" s="415"/>
      <c r="T37" s="415"/>
      <c r="U37" s="415"/>
      <c r="V37" s="416"/>
      <c r="W37" s="414"/>
      <c r="X37" s="415"/>
      <c r="Y37" s="415"/>
      <c r="Z37" s="415"/>
      <c r="AA37" s="415"/>
      <c r="AB37" s="415"/>
      <c r="AC37" s="415"/>
      <c r="AD37" s="416"/>
      <c r="AE37" s="414"/>
      <c r="AF37" s="415"/>
      <c r="AG37" s="415"/>
      <c r="AH37" s="415"/>
      <c r="AI37" s="415"/>
      <c r="AJ37" s="415"/>
      <c r="AK37" s="415"/>
      <c r="AL37" s="416"/>
    </row>
    <row r="38" spans="1:38" ht="13.5" thickBot="1" x14ac:dyDescent="0.25">
      <c r="A38" s="74" t="s">
        <v>111</v>
      </c>
      <c r="B38" s="98">
        <f>COUNTIF(РПЗ!$Q:$Q,Справочно!$C33)</f>
        <v>74</v>
      </c>
      <c r="C38" s="476">
        <f>B38/$B$13</f>
        <v>0.39784946236559138</v>
      </c>
      <c r="D38" s="475">
        <f>SUMIF(РПЗ!$Q:$Q,Справочно!$C33,РПЗ!$L:$L)</f>
        <v>121287416.57000001</v>
      </c>
      <c r="E38" s="476">
        <f>D38/$D$40</f>
        <v>0.2984398860743207</v>
      </c>
      <c r="G38" s="68">
        <f>COUNTIFS(РПЗ!$Q:$Q,Справочно!$C33,РПЗ!$O:$O,ПП!$G$14)</f>
        <v>0</v>
      </c>
      <c r="H38" s="411">
        <f>SUMIFS(РПЗ!$L:$L,РПЗ!$Q:$Q,Справочно!$C33,РПЗ!$O:$O,$G$14)</f>
        <v>0</v>
      </c>
      <c r="I38" s="170">
        <f>COUNTIFS(РПЗ!$Q:$Q,Справочно!$C33,РПЗ!$O:$O,ПП!$I$14)</f>
        <v>0</v>
      </c>
      <c r="J38" s="411">
        <f>SUMIFS(РПЗ!$L:$L,РПЗ!$Q:$Q,Справочно!$C33,РПЗ!$O:$O,$I$14)</f>
        <v>0</v>
      </c>
      <c r="K38" s="170">
        <f>COUNTIFS(РПЗ!$Q:$Q,Справочно!$C33,РПЗ!$O:$O,ПП!$K$14)</f>
        <v>0</v>
      </c>
      <c r="L38" s="412">
        <f>SUMIFS(РПЗ!$L:$L,РПЗ!$Q:$Q,Справочно!$C33,РПЗ!$O:$O,$K$14)</f>
        <v>0</v>
      </c>
      <c r="M38" s="481">
        <f>SUM(G38,I38,K38)</f>
        <v>0</v>
      </c>
      <c r="N38" s="480">
        <f>SUM(H38,J38,L38)</f>
        <v>0</v>
      </c>
      <c r="O38" s="68">
        <f>COUNTIFS(РПЗ!$Q:$Q,Справочно!$C33,РПЗ!$O:$O,ПП!$O$14)</f>
        <v>0</v>
      </c>
      <c r="P38" s="411">
        <f>SUMIFS(РПЗ!$L:$L,РПЗ!$Q:$Q,Справочно!$C33,РПЗ!$O:$O,$O$14)</f>
        <v>0</v>
      </c>
      <c r="Q38" s="170">
        <f>COUNTIFS(РПЗ!$Q:$Q,Справочно!$C33,РПЗ!$O:$O,ПП!$Q$14)</f>
        <v>0</v>
      </c>
      <c r="R38" s="411">
        <f>SUMIFS(РПЗ!$L:$L,РПЗ!$Q:$Q,Справочно!$C33,РПЗ!$O:$O,$Q$14)</f>
        <v>0</v>
      </c>
      <c r="S38" s="170">
        <f>COUNTIFS(РПЗ!$Q:$Q,Справочно!$C33,РПЗ!$O:$O,ПП!$S$14)</f>
        <v>0</v>
      </c>
      <c r="T38" s="412">
        <f>SUMIFS(РПЗ!$L:$L,РПЗ!$Q:$Q,Справочно!$C33,РПЗ!$O:$O,$S$14)</f>
        <v>0</v>
      </c>
      <c r="U38" s="481">
        <f>SUM(O38,Q38,S38)</f>
        <v>0</v>
      </c>
      <c r="V38" s="480">
        <f>SUM(P38,R38,T38)</f>
        <v>0</v>
      </c>
      <c r="W38" s="68">
        <f>COUNTIFS(РПЗ!$Q:$Q,Справочно!$C33,РПЗ!$O:$O,ПП!$W$14)</f>
        <v>0</v>
      </c>
      <c r="X38" s="411">
        <f>SUMIFS(РПЗ!$L:$L,РПЗ!$Q:$Q,Справочно!$C33,РПЗ!$O:$O,$W$14)</f>
        <v>0</v>
      </c>
      <c r="Y38" s="170">
        <f>COUNTIFS(РПЗ!$Q:$Q,Справочно!$C33,РПЗ!$O:$O,ПП!$Y$14)</f>
        <v>0</v>
      </c>
      <c r="Z38" s="411">
        <f>SUMIFS(РПЗ!$L:$L,РПЗ!$Q:$Q,Справочно!$C33,РПЗ!$O:$O,$Y$14)</f>
        <v>0</v>
      </c>
      <c r="AA38" s="170">
        <f>COUNTIFS(РПЗ!$Q:$Q,Справочно!$C33,РПЗ!$O:$O,ПП!$AA$14)</f>
        <v>0</v>
      </c>
      <c r="AB38" s="412">
        <f>SUMIFS(РПЗ!$L:$L,РПЗ!$Q:$Q,Справочно!$C33,РПЗ!$O:$O,$AA$14)</f>
        <v>0</v>
      </c>
      <c r="AC38" s="481">
        <f>SUM(W38,Y38,AA38)</f>
        <v>0</v>
      </c>
      <c r="AD38" s="480">
        <f>SUM(X38,Z38,AB38)</f>
        <v>0</v>
      </c>
      <c r="AE38" s="68">
        <f>COUNTIFS(РПЗ!$Q:$Q,Справочно!$C33,РПЗ!$O:$O,ПП!$AE$14)</f>
        <v>0</v>
      </c>
      <c r="AF38" s="411">
        <f>SUMIFS(РПЗ!$L:$L,РПЗ!$Q:$Q,Справочно!$C33,РПЗ!$O:$O,$AE$14)</f>
        <v>0</v>
      </c>
      <c r="AG38" s="170">
        <f>COUNTIFS(РПЗ!$Q:$Q,Справочно!$C33,РПЗ!$O:$O,ПП!$AG$14)</f>
        <v>0</v>
      </c>
      <c r="AH38" s="411">
        <f>SUMIFS(РПЗ!$L:$L,РПЗ!$Q:$Q,Справочно!$C33,РПЗ!$O:$O,$AG$14)</f>
        <v>0</v>
      </c>
      <c r="AI38" s="170">
        <f>COUNTIFS(РПЗ!$Q:$Q,Справочно!$C33,РПЗ!$O:$O,ПП!$AI$14)</f>
        <v>0</v>
      </c>
      <c r="AJ38" s="412">
        <f>SUMIFS(РПЗ!$L:$L,РПЗ!$Q:$Q,Справочно!$C33,РПЗ!$O:$O,$AI$14)</f>
        <v>0</v>
      </c>
      <c r="AK38" s="481">
        <f>SUM(AE38,AG38,AI38)</f>
        <v>0</v>
      </c>
      <c r="AL38" s="480">
        <f>SUM(AF38,AH38,AJ38)</f>
        <v>0</v>
      </c>
    </row>
    <row r="39" spans="1:38" ht="13.5" thickBot="1" x14ac:dyDescent="0.25">
      <c r="A39" s="81"/>
      <c r="B39" s="82"/>
      <c r="C39" s="425"/>
      <c r="D39" s="426"/>
      <c r="E39" s="425"/>
      <c r="G39" s="414"/>
      <c r="H39" s="415"/>
      <c r="I39" s="415"/>
      <c r="J39" s="415"/>
      <c r="K39" s="415"/>
      <c r="L39" s="415"/>
      <c r="M39" s="415"/>
      <c r="N39" s="416"/>
      <c r="O39" s="414"/>
      <c r="P39" s="415"/>
      <c r="Q39" s="415"/>
      <c r="R39" s="415"/>
      <c r="S39" s="415"/>
      <c r="T39" s="415"/>
      <c r="U39" s="415"/>
      <c r="V39" s="416"/>
      <c r="W39" s="414"/>
      <c r="X39" s="415"/>
      <c r="Y39" s="415"/>
      <c r="Z39" s="415"/>
      <c r="AA39" s="415"/>
      <c r="AB39" s="415"/>
      <c r="AC39" s="415"/>
      <c r="AD39" s="416"/>
      <c r="AE39" s="414"/>
      <c r="AF39" s="415"/>
      <c r="AG39" s="415"/>
      <c r="AH39" s="415"/>
      <c r="AI39" s="415"/>
      <c r="AJ39" s="415"/>
      <c r="AK39" s="415"/>
      <c r="AL39" s="416"/>
    </row>
    <row r="40" spans="1:38" ht="13.5" thickBot="1" x14ac:dyDescent="0.25">
      <c r="A40" s="73" t="s">
        <v>262</v>
      </c>
      <c r="B40" s="477">
        <f>B36+B38</f>
        <v>186</v>
      </c>
      <c r="C40" s="478">
        <f>C36+C38</f>
        <v>1</v>
      </c>
      <c r="D40" s="475">
        <f>D36+D38</f>
        <v>406404848.11000001</v>
      </c>
      <c r="E40" s="479">
        <f>E36+E38</f>
        <v>1</v>
      </c>
      <c r="G40" s="87">
        <f>SUM(G36,G38)</f>
        <v>0</v>
      </c>
      <c r="H40" s="411">
        <f t="shared" ref="H40:N40" si="35">SUM(H36,H38)</f>
        <v>0</v>
      </c>
      <c r="I40" s="169">
        <f t="shared" si="35"/>
        <v>0</v>
      </c>
      <c r="J40" s="411">
        <f t="shared" si="35"/>
        <v>0</v>
      </c>
      <c r="K40" s="169">
        <f t="shared" si="35"/>
        <v>0</v>
      </c>
      <c r="L40" s="417">
        <f t="shared" si="35"/>
        <v>0</v>
      </c>
      <c r="M40" s="482">
        <f t="shared" si="35"/>
        <v>0</v>
      </c>
      <c r="N40" s="480">
        <f t="shared" si="35"/>
        <v>0</v>
      </c>
      <c r="O40" s="87">
        <f>SUM(O36,O38)</f>
        <v>0</v>
      </c>
      <c r="P40" s="411">
        <f t="shared" ref="P40:V40" si="36">SUM(P36,P38)</f>
        <v>0</v>
      </c>
      <c r="Q40" s="169">
        <f t="shared" si="36"/>
        <v>0</v>
      </c>
      <c r="R40" s="411">
        <f t="shared" si="36"/>
        <v>0</v>
      </c>
      <c r="S40" s="169">
        <f t="shared" si="36"/>
        <v>0</v>
      </c>
      <c r="T40" s="412">
        <f t="shared" si="36"/>
        <v>0</v>
      </c>
      <c r="U40" s="482">
        <f t="shared" si="36"/>
        <v>0</v>
      </c>
      <c r="V40" s="480">
        <f t="shared" si="36"/>
        <v>0</v>
      </c>
      <c r="W40" s="87">
        <f>SUM(W36,W38)</f>
        <v>0</v>
      </c>
      <c r="X40" s="411">
        <f t="shared" ref="X40:AD40" si="37">SUM(X36,X38)</f>
        <v>0</v>
      </c>
      <c r="Y40" s="169">
        <f t="shared" si="37"/>
        <v>0</v>
      </c>
      <c r="Z40" s="411">
        <f t="shared" si="37"/>
        <v>0</v>
      </c>
      <c r="AA40" s="169">
        <f t="shared" si="37"/>
        <v>0</v>
      </c>
      <c r="AB40" s="412">
        <f t="shared" si="37"/>
        <v>0</v>
      </c>
      <c r="AC40" s="482">
        <f t="shared" si="37"/>
        <v>0</v>
      </c>
      <c r="AD40" s="480">
        <f t="shared" si="37"/>
        <v>0</v>
      </c>
      <c r="AE40" s="87">
        <f>SUM(AE36,AE38)</f>
        <v>0</v>
      </c>
      <c r="AF40" s="411">
        <f t="shared" ref="AF40:AL40" si="38">SUM(AF36,AF38)</f>
        <v>0</v>
      </c>
      <c r="AG40" s="169">
        <f t="shared" si="38"/>
        <v>0</v>
      </c>
      <c r="AH40" s="411">
        <f t="shared" si="38"/>
        <v>0</v>
      </c>
      <c r="AI40" s="169">
        <f t="shared" si="38"/>
        <v>0</v>
      </c>
      <c r="AJ40" s="412">
        <f t="shared" si="38"/>
        <v>0</v>
      </c>
      <c r="AK40" s="482">
        <f t="shared" si="38"/>
        <v>0</v>
      </c>
      <c r="AL40" s="480">
        <f t="shared" si="38"/>
        <v>0</v>
      </c>
    </row>
    <row r="41" spans="1:38" x14ac:dyDescent="0.2">
      <c r="G41" s="109"/>
      <c r="H41" s="110"/>
      <c r="I41" s="110"/>
      <c r="J41" s="110"/>
      <c r="K41" s="110"/>
      <c r="L41" s="110"/>
      <c r="M41" s="110"/>
      <c r="N41" s="177"/>
      <c r="O41" s="109"/>
      <c r="P41" s="110"/>
      <c r="Q41" s="110"/>
      <c r="R41" s="110"/>
      <c r="S41" s="110"/>
      <c r="T41" s="110"/>
      <c r="U41" s="110"/>
      <c r="V41" s="177"/>
      <c r="W41" s="109"/>
      <c r="X41" s="110"/>
      <c r="Y41" s="110"/>
      <c r="Z41" s="110"/>
      <c r="AA41" s="110"/>
      <c r="AB41" s="110"/>
      <c r="AC41" s="110"/>
      <c r="AD41" s="177"/>
      <c r="AE41" s="109"/>
      <c r="AF41" s="110"/>
      <c r="AG41" s="110"/>
      <c r="AH41" s="110"/>
      <c r="AI41" s="110"/>
      <c r="AJ41" s="110"/>
      <c r="AK41" s="110"/>
      <c r="AL41" s="177"/>
    </row>
    <row r="42" spans="1:38" ht="21" customHeight="1" thickBot="1" x14ac:dyDescent="0.25">
      <c r="A42" s="744" t="s">
        <v>247</v>
      </c>
      <c r="B42" s="744"/>
      <c r="C42" s="744"/>
      <c r="D42" s="744"/>
      <c r="E42" s="744"/>
      <c r="G42" s="109"/>
      <c r="H42" s="110"/>
      <c r="I42" s="110"/>
      <c r="J42" s="110"/>
      <c r="K42" s="110"/>
      <c r="L42" s="110"/>
      <c r="M42" s="110"/>
      <c r="N42" s="177"/>
      <c r="O42" s="109"/>
      <c r="P42" s="110"/>
      <c r="Q42" s="110"/>
      <c r="R42" s="110"/>
      <c r="S42" s="110"/>
      <c r="T42" s="110"/>
      <c r="U42" s="110"/>
      <c r="V42" s="177"/>
      <c r="W42" s="109"/>
      <c r="X42" s="110"/>
      <c r="Y42" s="110"/>
      <c r="Z42" s="110"/>
      <c r="AA42" s="110"/>
      <c r="AB42" s="110"/>
      <c r="AC42" s="110"/>
      <c r="AD42" s="177"/>
      <c r="AE42" s="109"/>
      <c r="AF42" s="110"/>
      <c r="AG42" s="110"/>
      <c r="AH42" s="110"/>
      <c r="AI42" s="110"/>
      <c r="AJ42" s="110"/>
      <c r="AK42" s="110"/>
      <c r="AL42" s="177"/>
    </row>
    <row r="43" spans="1:38" ht="26.25" thickBot="1" x14ac:dyDescent="0.25">
      <c r="A43" s="60" t="s">
        <v>212</v>
      </c>
      <c r="B43" s="61" t="s">
        <v>319</v>
      </c>
      <c r="C43" s="62" t="s">
        <v>243</v>
      </c>
      <c r="D43" s="63" t="s">
        <v>318</v>
      </c>
      <c r="E43" s="62" t="s">
        <v>246</v>
      </c>
      <c r="G43" s="61" t="s">
        <v>319</v>
      </c>
      <c r="H43" s="65" t="s">
        <v>318</v>
      </c>
      <c r="I43" s="65" t="s">
        <v>319</v>
      </c>
      <c r="J43" s="65" t="s">
        <v>318</v>
      </c>
      <c r="K43" s="65" t="s">
        <v>319</v>
      </c>
      <c r="L43" s="176" t="s">
        <v>318</v>
      </c>
      <c r="M43" s="210" t="s">
        <v>319</v>
      </c>
      <c r="N43" s="210" t="s">
        <v>318</v>
      </c>
      <c r="O43" s="61" t="s">
        <v>319</v>
      </c>
      <c r="P43" s="65" t="s">
        <v>318</v>
      </c>
      <c r="Q43" s="65" t="s">
        <v>319</v>
      </c>
      <c r="R43" s="65" t="s">
        <v>318</v>
      </c>
      <c r="S43" s="65" t="s">
        <v>319</v>
      </c>
      <c r="T43" s="176" t="s">
        <v>318</v>
      </c>
      <c r="U43" s="210" t="s">
        <v>319</v>
      </c>
      <c r="V43" s="210" t="s">
        <v>318</v>
      </c>
      <c r="W43" s="61" t="s">
        <v>319</v>
      </c>
      <c r="X43" s="65" t="s">
        <v>318</v>
      </c>
      <c r="Y43" s="65" t="s">
        <v>319</v>
      </c>
      <c r="Z43" s="65" t="s">
        <v>318</v>
      </c>
      <c r="AA43" s="65" t="s">
        <v>319</v>
      </c>
      <c r="AB43" s="176" t="s">
        <v>318</v>
      </c>
      <c r="AC43" s="210" t="s">
        <v>319</v>
      </c>
      <c r="AD43" s="210" t="s">
        <v>318</v>
      </c>
      <c r="AE43" s="61" t="s">
        <v>319</v>
      </c>
      <c r="AF43" s="65" t="s">
        <v>318</v>
      </c>
      <c r="AG43" s="65" t="s">
        <v>319</v>
      </c>
      <c r="AH43" s="65" t="s">
        <v>318</v>
      </c>
      <c r="AI43" s="65" t="s">
        <v>319</v>
      </c>
      <c r="AJ43" s="176" t="s">
        <v>318</v>
      </c>
      <c r="AK43" s="210" t="s">
        <v>319</v>
      </c>
      <c r="AL43" s="210" t="s">
        <v>318</v>
      </c>
    </row>
    <row r="44" spans="1:38" ht="13.5" thickBot="1" x14ac:dyDescent="0.25">
      <c r="A44" s="92" t="str">
        <f>Справочно!E21</f>
        <v>ГК "Ростех"</v>
      </c>
      <c r="B44" s="72" t="e">
        <f>COUNTIF(РПЗ!#REF!,Справочно!$E21)</f>
        <v>#REF!</v>
      </c>
      <c r="C44" s="427" t="e">
        <f t="shared" ref="C44:C68" si="39">B44/$B$13</f>
        <v>#REF!</v>
      </c>
      <c r="D44" s="428" t="e">
        <f>SUMIF(РПЗ!#REF!,Справочно!$E21,РПЗ!$L:$L)</f>
        <v>#REF!</v>
      </c>
      <c r="E44" s="427" t="e">
        <f t="shared" ref="E44:E69" si="40">D44/$D$13</f>
        <v>#REF!</v>
      </c>
      <c r="G44" s="226" t="e">
        <f>COUNTIFS(РПЗ!#REF!,Справочно!$E21,РПЗ!$O:$O,ПП!$G$14)</f>
        <v>#REF!</v>
      </c>
      <c r="H44" s="406" t="e">
        <f>SUMIFS(РПЗ!$L:$L,РПЗ!#REF!,Справочно!$E21,РПЗ!$O:$O,ПП!$G$14)</f>
        <v>#REF!</v>
      </c>
      <c r="I44" s="202" t="e">
        <f>COUNTIFS(РПЗ!#REF!,Справочно!$E21,РПЗ!$O:$O,ПП!$I$14)</f>
        <v>#REF!</v>
      </c>
      <c r="J44" s="434" t="e">
        <f>SUMIFS(РПЗ!$L:$L,РПЗ!#REF!,Справочно!$E21,РПЗ!$O:$O,ПП!$I$14)</f>
        <v>#REF!</v>
      </c>
      <c r="K44" s="202" t="e">
        <f>COUNTIFS(РПЗ!#REF!,Справочно!$E21,РПЗ!$O:$O,ПП!$K$14)</f>
        <v>#REF!</v>
      </c>
      <c r="L44" s="435" t="e">
        <f>SUMIFS(РПЗ!$L:$L,РПЗ!#REF!,Справочно!$E21,РПЗ!$O:$O,ПП!$K$14)</f>
        <v>#REF!</v>
      </c>
      <c r="M44" s="229" t="e">
        <f>SUM(G44,I44,K44)</f>
        <v>#REF!</v>
      </c>
      <c r="N44" s="396" t="e">
        <f>SUM(H44,J44,L44)</f>
        <v>#REF!</v>
      </c>
      <c r="O44" s="230" t="e">
        <f>COUNTIFS(РПЗ!#REF!,Справочно!$E21,РПЗ!$O:$O,ПП!$O$14)</f>
        <v>#REF!</v>
      </c>
      <c r="P44" s="436" t="e">
        <f>SUMIFS(РПЗ!$L:$L,РПЗ!#REF!,Справочно!$E21,РПЗ!$O:$O,ПП!$O$14)</f>
        <v>#REF!</v>
      </c>
      <c r="Q44" s="189" t="e">
        <f>COUNTIFS(РПЗ!#REF!,Справочно!$E21,РПЗ!$O:$O,ПП!$Q$14)</f>
        <v>#REF!</v>
      </c>
      <c r="R44" s="436" t="e">
        <f>SUMIFS(РПЗ!$L:$L,РПЗ!#REF!,Справочно!$E21,РПЗ!$O:$O,ПП!$Q$14)</f>
        <v>#REF!</v>
      </c>
      <c r="S44" s="189" t="e">
        <f>COUNTIFS(РПЗ!#REF!,Справочно!$E21,РПЗ!$O:$O,ПП!$S$14)</f>
        <v>#REF!</v>
      </c>
      <c r="T44" s="437" t="e">
        <f>SUMIFS(РПЗ!$L:$L,РПЗ!#REF!,Справочно!$E21,РПЗ!$O:$O,ПП!$S$14)</f>
        <v>#REF!</v>
      </c>
      <c r="U44" s="233" t="e">
        <f>SUM(O44,Q44,S44)</f>
        <v>#REF!</v>
      </c>
      <c r="V44" s="399" t="e">
        <f>SUM(P44,R44,T44)</f>
        <v>#REF!</v>
      </c>
      <c r="W44" s="235" t="e">
        <f>COUNTIFS(РПЗ!#REF!,Справочно!$E21,РПЗ!$O:$O,ПП!$W$14)</f>
        <v>#REF!</v>
      </c>
      <c r="X44" s="438" t="e">
        <f>SUMIFS(РПЗ!$L:$L,РПЗ!#REF!,Справочно!$E21,РПЗ!$O:$O,ПП!$W$14)</f>
        <v>#REF!</v>
      </c>
      <c r="Y44" s="221" t="e">
        <f>COUNTIFS(РПЗ!#REF!,Справочно!$E21,РПЗ!$O:$O,ПП!$Y$14)</f>
        <v>#REF!</v>
      </c>
      <c r="Z44" s="438" t="e">
        <f>SUMIFS(РПЗ!$L:$L,РПЗ!#REF!,Справочно!$E21,РПЗ!$O:$O,ПП!$Y$14)</f>
        <v>#REF!</v>
      </c>
      <c r="AA44" s="221" t="e">
        <f>COUNTIFS(РПЗ!#REF!,Справочно!$E21,РПЗ!$O:$O,ПП!$AA$14)</f>
        <v>#REF!</v>
      </c>
      <c r="AB44" s="439" t="e">
        <f>SUMIFS(РПЗ!$L:$L,РПЗ!#REF!,Справочно!$E21,РПЗ!$O:$O,ПП!$AA$14)</f>
        <v>#REF!</v>
      </c>
      <c r="AC44" s="234" t="e">
        <f>SUM(W44,Y44,AA44)</f>
        <v>#REF!</v>
      </c>
      <c r="AD44" s="402" t="e">
        <f>SUM(X44,Z44,AB44)</f>
        <v>#REF!</v>
      </c>
      <c r="AE44" s="239" t="e">
        <f>COUNTIFS(РПЗ!#REF!,Справочно!$E21,РПЗ!$O:$O,ПП!$AE$14)</f>
        <v>#REF!</v>
      </c>
      <c r="AF44" s="440" t="e">
        <f>SUMIFS(РПЗ!$L:$L,РПЗ!#REF!,Справочно!$E21,РПЗ!$O:$O,ПП!$AE$14)</f>
        <v>#REF!</v>
      </c>
      <c r="AG44" s="216" t="e">
        <f>COUNTIFS(РПЗ!#REF!,Справочно!$E21,РПЗ!$O:$O,ПП!$AG$14)</f>
        <v>#REF!</v>
      </c>
      <c r="AH44" s="440" t="e">
        <f>SUMIFS(РПЗ!$L:$L,РПЗ!#REF!,Справочно!$E21,РПЗ!$O:$O,ПП!$AG$14)</f>
        <v>#REF!</v>
      </c>
      <c r="AI44" s="216" t="e">
        <f>COUNTIFS(РПЗ!#REF!,Справочно!$E21,РПЗ!$O:$O,ПП!$AI$14)</f>
        <v>#REF!</v>
      </c>
      <c r="AJ44" s="441" t="e">
        <f>SUMIFS(РПЗ!$L:$L,РПЗ!#REF!,Справочно!$E21,РПЗ!$O:$O,ПП!$AI$14)</f>
        <v>#REF!</v>
      </c>
      <c r="AK44" s="238" t="e">
        <f>SUM(AE44,AG44,AI44)</f>
        <v>#REF!</v>
      </c>
      <c r="AL44" s="405" t="e">
        <f>SUM(AF44,AH44,AJ44)</f>
        <v>#REF!</v>
      </c>
    </row>
    <row r="45" spans="1:38" ht="15.75" customHeight="1" thickBot="1" x14ac:dyDescent="0.25">
      <c r="A45" s="93" t="str">
        <f>Справочно!E22</f>
        <v>ООО "РТ-Развитие бизнеса"</v>
      </c>
      <c r="B45" s="72" t="e">
        <f>COUNTIF(РПЗ!#REF!,Справочно!$E22)</f>
        <v>#REF!</v>
      </c>
      <c r="C45" s="427" t="e">
        <f t="shared" si="39"/>
        <v>#REF!</v>
      </c>
      <c r="D45" s="428" t="e">
        <f>SUMIF(РПЗ!#REF!,Справочно!$E22,РПЗ!$L:$L)</f>
        <v>#REF!</v>
      </c>
      <c r="E45" s="427" t="e">
        <f t="shared" si="40"/>
        <v>#REF!</v>
      </c>
      <c r="G45" s="183" t="e">
        <f>COUNTIFS(РПЗ!#REF!,Справочно!$E22,РПЗ!$O:$O,ПП!$G$14)</f>
        <v>#REF!</v>
      </c>
      <c r="H45" s="406" t="e">
        <f>SUMIFS(РПЗ!$L:$L,РПЗ!#REF!,Справочно!$E22,РПЗ!$O:$O,ПП!$G$14)</f>
        <v>#REF!</v>
      </c>
      <c r="I45" s="184" t="e">
        <f>COUNTIFS(РПЗ!#REF!,Справочно!$E22,РПЗ!$O:$O,ПП!$I$14)</f>
        <v>#REF!</v>
      </c>
      <c r="J45" s="406" t="e">
        <f>SUMIFS(РПЗ!$L:$L,РПЗ!#REF!,Справочно!$E22,РПЗ!$O:$O,ПП!$I$14)</f>
        <v>#REF!</v>
      </c>
      <c r="K45" s="184" t="e">
        <f>COUNTIFS(РПЗ!#REF!,Справочно!$E22,РПЗ!$O:$O,ПП!$K$14)</f>
        <v>#REF!</v>
      </c>
      <c r="L45" s="442" t="e">
        <f>SUMIFS(РПЗ!$L:$L,РПЗ!#REF!,Справочно!$E22,РПЗ!$O:$O,ПП!$K$14)</f>
        <v>#REF!</v>
      </c>
      <c r="M45" s="229" t="e">
        <f t="shared" ref="M45:M66" si="41">SUM(G45,I45,K45)</f>
        <v>#REF!</v>
      </c>
      <c r="N45" s="396" t="e">
        <f t="shared" ref="N45:N68" si="42">SUM(H45,J45,L45)</f>
        <v>#REF!</v>
      </c>
      <c r="O45" s="231" t="e">
        <f>COUNTIFS(РПЗ!#REF!,Справочно!$E22,РПЗ!$O:$O,ПП!$O$14)</f>
        <v>#REF!</v>
      </c>
      <c r="P45" s="443" t="e">
        <f>SUMIFS(РПЗ!$L:$L,РПЗ!#REF!,Справочно!$E22,РПЗ!$O:$O,ПП!$O$14)</f>
        <v>#REF!</v>
      </c>
      <c r="Q45" s="223" t="e">
        <f>COUNTIFS(РПЗ!#REF!,Справочно!$E22,РПЗ!$O:$O,ПП!$Q$14)</f>
        <v>#REF!</v>
      </c>
      <c r="R45" s="443" t="e">
        <f>SUMIFS(РПЗ!$L:$L,РПЗ!#REF!,Справочно!$E22,РПЗ!$O:$O,ПП!$Q$14)</f>
        <v>#REF!</v>
      </c>
      <c r="S45" s="223" t="e">
        <f>COUNTIFS(РПЗ!#REF!,Справочно!$E22,РПЗ!$O:$O,ПП!$S$14)</f>
        <v>#REF!</v>
      </c>
      <c r="T45" s="444" t="e">
        <f>SUMIFS(РПЗ!$L:$L,РПЗ!#REF!,Справочно!$E22,РПЗ!$O:$O,ПП!$S$14)</f>
        <v>#REF!</v>
      </c>
      <c r="U45" s="233" t="e">
        <f t="shared" ref="U45:U68" si="43">SUM(O45,Q45,S45)</f>
        <v>#REF!</v>
      </c>
      <c r="V45" s="399" t="e">
        <f t="shared" ref="V45:V55" si="44">SUM(P45,R45,T45)</f>
        <v>#REF!</v>
      </c>
      <c r="W45" s="236" t="e">
        <f>COUNTIFS(РПЗ!#REF!,Справочно!$E22,РПЗ!$O:$O,ПП!$W$14)</f>
        <v>#REF!</v>
      </c>
      <c r="X45" s="445" t="e">
        <f>SUMIFS(РПЗ!$L:$L,РПЗ!#REF!,Справочно!$E22,РПЗ!$O:$O,ПП!$W$14)</f>
        <v>#REF!</v>
      </c>
      <c r="Y45" s="180" t="e">
        <f>COUNTIFS(РПЗ!#REF!,Справочно!$E22,РПЗ!$O:$O,ПП!$Y$14)</f>
        <v>#REF!</v>
      </c>
      <c r="Z45" s="445" t="e">
        <f>SUMIFS(РПЗ!$L:$L,РПЗ!#REF!,Справочно!$E22,РПЗ!$O:$O,ПП!$Y$14)</f>
        <v>#REF!</v>
      </c>
      <c r="AA45" s="180" t="e">
        <f>COUNTIFS(РПЗ!#REF!,Справочно!$E22,РПЗ!$O:$O,ПП!$AA$14)</f>
        <v>#REF!</v>
      </c>
      <c r="AB45" s="446" t="e">
        <f>SUMIFS(РПЗ!$L:$L,РПЗ!#REF!,Справочно!$E22,РПЗ!$O:$O,ПП!$AA$14)</f>
        <v>#REF!</v>
      </c>
      <c r="AC45" s="234" t="e">
        <f t="shared" ref="AC45:AC68" si="45">SUM(W45,Y45,AA45)</f>
        <v>#REF!</v>
      </c>
      <c r="AD45" s="402" t="e">
        <f t="shared" ref="AD45:AD68" si="46">SUM(X45,Z45,AB45)</f>
        <v>#REF!</v>
      </c>
      <c r="AE45" s="241" t="e">
        <f>COUNTIFS(РПЗ!#REF!,Справочно!$E22,РПЗ!$O:$O,ПП!$AE$14)</f>
        <v>#REF!</v>
      </c>
      <c r="AF45" s="447" t="e">
        <f>SUMIFS(РПЗ!$L:$L,РПЗ!#REF!,Справочно!$E22,РПЗ!$O:$O,ПП!$AE$14)</f>
        <v>#REF!</v>
      </c>
      <c r="AG45" s="217" t="e">
        <f>COUNTIFS(РПЗ!#REF!,Справочно!$E22,РПЗ!$O:$O,ПП!$AG$14)</f>
        <v>#REF!</v>
      </c>
      <c r="AH45" s="447" t="e">
        <f>SUMIFS(РПЗ!$L:$L,РПЗ!#REF!,Справочно!$E22,РПЗ!$O:$O,ПП!$AG$14)</f>
        <v>#REF!</v>
      </c>
      <c r="AI45" s="217" t="e">
        <f>COUNTIFS(РПЗ!#REF!,Справочно!$E22,РПЗ!$O:$O,ПП!$AI$14)</f>
        <v>#REF!</v>
      </c>
      <c r="AJ45" s="448" t="e">
        <f>SUMIFS(РПЗ!$L:$L,РПЗ!#REF!,Справочно!$E22,РПЗ!$O:$O,ПП!$AI$14)</f>
        <v>#REF!</v>
      </c>
      <c r="AK45" s="238" t="e">
        <f t="shared" ref="AK45:AK68" si="47">SUM(AE45,AG45,AI45)</f>
        <v>#REF!</v>
      </c>
      <c r="AL45" s="405" t="e">
        <f t="shared" ref="AL45:AL68" si="48">SUM(AF45,AH45,AJ45)</f>
        <v>#REF!</v>
      </c>
    </row>
    <row r="46" spans="1:38" ht="13.5" thickBot="1" x14ac:dyDescent="0.25">
      <c r="A46" s="93" t="str">
        <f>Справочно!E23</f>
        <v>ОАО "ВО "Технопромэкспорт"</v>
      </c>
      <c r="B46" s="72" t="e">
        <f>COUNTIF(РПЗ!#REF!,Справочно!$E23)</f>
        <v>#REF!</v>
      </c>
      <c r="C46" s="427" t="e">
        <f t="shared" si="39"/>
        <v>#REF!</v>
      </c>
      <c r="D46" s="428" t="e">
        <f>SUMIF(РПЗ!#REF!,Справочно!$E23,РПЗ!$L:$L)</f>
        <v>#REF!</v>
      </c>
      <c r="E46" s="427" t="e">
        <f t="shared" si="40"/>
        <v>#REF!</v>
      </c>
      <c r="G46" s="183" t="e">
        <f>COUNTIFS(РПЗ!#REF!,Справочно!$E23,РПЗ!$O:$O,ПП!$G$14)</f>
        <v>#REF!</v>
      </c>
      <c r="H46" s="406" t="e">
        <f>SUMIFS(РПЗ!$L:$L,РПЗ!#REF!,Справочно!$E23,РПЗ!$O:$O,ПП!$G$14)</f>
        <v>#REF!</v>
      </c>
      <c r="I46" s="184" t="e">
        <f>COUNTIFS(РПЗ!#REF!,Справочно!$E23,РПЗ!$O:$O,ПП!$I$14)</f>
        <v>#REF!</v>
      </c>
      <c r="J46" s="406" t="e">
        <f>SUMIFS(РПЗ!$L:$L,РПЗ!#REF!,Справочно!$E23,РПЗ!$O:$O,ПП!$I$14)</f>
        <v>#REF!</v>
      </c>
      <c r="K46" s="184" t="e">
        <f>COUNTIFS(РПЗ!#REF!,Справочно!$E23,РПЗ!$O:$O,ПП!$K$14)</f>
        <v>#REF!</v>
      </c>
      <c r="L46" s="442" t="e">
        <f>SUMIFS(РПЗ!$L:$L,РПЗ!#REF!,Справочно!$E23,РПЗ!$O:$O,ПП!$K$14)</f>
        <v>#REF!</v>
      </c>
      <c r="M46" s="229" t="e">
        <f t="shared" si="41"/>
        <v>#REF!</v>
      </c>
      <c r="N46" s="396" t="e">
        <f t="shared" si="42"/>
        <v>#REF!</v>
      </c>
      <c r="O46" s="231" t="e">
        <f>COUNTIFS(РПЗ!#REF!,Справочно!$E23,РПЗ!$O:$O,ПП!$O$14)</f>
        <v>#REF!</v>
      </c>
      <c r="P46" s="443" t="e">
        <f>SUMIFS(РПЗ!$L:$L,РПЗ!#REF!,Справочно!$E23,РПЗ!$O:$O,ПП!$O$14)</f>
        <v>#REF!</v>
      </c>
      <c r="Q46" s="223" t="e">
        <f>COUNTIFS(РПЗ!#REF!,Справочно!$E23,РПЗ!$O:$O,ПП!$Q$14)</f>
        <v>#REF!</v>
      </c>
      <c r="R46" s="443" t="e">
        <f>SUMIFS(РПЗ!$L:$L,РПЗ!#REF!,Справочно!$E23,РПЗ!$O:$O,ПП!$Q$14)</f>
        <v>#REF!</v>
      </c>
      <c r="S46" s="223" t="e">
        <f>COUNTIFS(РПЗ!#REF!,Справочно!$E23,РПЗ!$O:$O,ПП!$S$14)</f>
        <v>#REF!</v>
      </c>
      <c r="T46" s="444" t="e">
        <f>SUMIFS(РПЗ!$L:$L,РПЗ!#REF!,Справочно!$E23,РПЗ!$O:$O,ПП!$S$14)</f>
        <v>#REF!</v>
      </c>
      <c r="U46" s="233" t="e">
        <f t="shared" si="43"/>
        <v>#REF!</v>
      </c>
      <c r="V46" s="399" t="e">
        <f t="shared" si="44"/>
        <v>#REF!</v>
      </c>
      <c r="W46" s="236" t="e">
        <f>COUNTIFS(РПЗ!#REF!,Справочно!$E23,РПЗ!$O:$O,ПП!$W$14)</f>
        <v>#REF!</v>
      </c>
      <c r="X46" s="445" t="e">
        <f>SUMIFS(РПЗ!$L:$L,РПЗ!#REF!,Справочно!$E23,РПЗ!$O:$O,ПП!$W$14)</f>
        <v>#REF!</v>
      </c>
      <c r="Y46" s="180" t="e">
        <f>COUNTIFS(РПЗ!#REF!,Справочно!$E23,РПЗ!$O:$O,ПП!$Y$14)</f>
        <v>#REF!</v>
      </c>
      <c r="Z46" s="445" t="e">
        <f>SUMIFS(РПЗ!$L:$L,РПЗ!#REF!,Справочно!$E23,РПЗ!$O:$O,ПП!$Y$14)</f>
        <v>#REF!</v>
      </c>
      <c r="AA46" s="180" t="e">
        <f>COUNTIFS(РПЗ!#REF!,Справочно!$E23,РПЗ!$O:$O,ПП!$AA$14)</f>
        <v>#REF!</v>
      </c>
      <c r="AB46" s="446" t="e">
        <f>SUMIFS(РПЗ!$L:$L,РПЗ!#REF!,Справочно!$E23,РПЗ!$O:$O,ПП!$AA$14)</f>
        <v>#REF!</v>
      </c>
      <c r="AC46" s="234" t="e">
        <f t="shared" si="45"/>
        <v>#REF!</v>
      </c>
      <c r="AD46" s="402" t="e">
        <f t="shared" si="46"/>
        <v>#REF!</v>
      </c>
      <c r="AE46" s="241" t="e">
        <f>COUNTIFS(РПЗ!#REF!,Справочно!$E23,РПЗ!$O:$O,ПП!$AE$14)</f>
        <v>#REF!</v>
      </c>
      <c r="AF46" s="447" t="e">
        <f>SUMIFS(РПЗ!$L:$L,РПЗ!#REF!,Справочно!$E23,РПЗ!$O:$O,ПП!$AE$14)</f>
        <v>#REF!</v>
      </c>
      <c r="AG46" s="217" t="e">
        <f>COUNTIFS(РПЗ!#REF!,Справочно!$E23,РПЗ!$O:$O,ПП!$AG$14)</f>
        <v>#REF!</v>
      </c>
      <c r="AH46" s="447" t="e">
        <f>SUMIFS(РПЗ!$L:$L,РПЗ!#REF!,Справочно!$E23,РПЗ!$O:$O,ПП!$AG$14)</f>
        <v>#REF!</v>
      </c>
      <c r="AI46" s="217" t="e">
        <f>COUNTIFS(РПЗ!#REF!,Справочно!$E23,РПЗ!$O:$O,ПП!$AI$14)</f>
        <v>#REF!</v>
      </c>
      <c r="AJ46" s="448" t="e">
        <f>SUMIFS(РПЗ!$L:$L,РПЗ!#REF!,Справочно!$E23,РПЗ!$O:$O,ПП!$AI$14)</f>
        <v>#REF!</v>
      </c>
      <c r="AK46" s="238" t="e">
        <f t="shared" si="47"/>
        <v>#REF!</v>
      </c>
      <c r="AL46" s="405" t="e">
        <f t="shared" si="48"/>
        <v>#REF!</v>
      </c>
    </row>
    <row r="47" spans="1:38" ht="13.5" thickBot="1" x14ac:dyDescent="0.25">
      <c r="A47" s="93" t="str">
        <f>Справочно!E24</f>
        <v>ОАО "РТ-Логистика"</v>
      </c>
      <c r="B47" s="72" t="e">
        <f>COUNTIF(РПЗ!#REF!,Справочно!$E24)</f>
        <v>#REF!</v>
      </c>
      <c r="C47" s="427" t="e">
        <f t="shared" si="39"/>
        <v>#REF!</v>
      </c>
      <c r="D47" s="428" t="e">
        <f>SUMIF(РПЗ!#REF!,Справочно!$E24,РПЗ!$L:$L)</f>
        <v>#REF!</v>
      </c>
      <c r="E47" s="427" t="e">
        <f t="shared" si="40"/>
        <v>#REF!</v>
      </c>
      <c r="G47" s="183" t="e">
        <f>COUNTIFS(РПЗ!#REF!,Справочно!$E24,РПЗ!$O:$O,ПП!$G$14)</f>
        <v>#REF!</v>
      </c>
      <c r="H47" s="406" t="e">
        <f>SUMIFS(РПЗ!$L:$L,РПЗ!#REF!,Справочно!$E24,РПЗ!$O:$O,ПП!$G$14)</f>
        <v>#REF!</v>
      </c>
      <c r="I47" s="184" t="e">
        <f>COUNTIFS(РПЗ!#REF!,Справочно!$E24,РПЗ!$O:$O,ПП!$I$14)</f>
        <v>#REF!</v>
      </c>
      <c r="J47" s="406" t="e">
        <f>SUMIFS(РПЗ!$L:$L,РПЗ!#REF!,Справочно!$E24,РПЗ!$O:$O,ПП!$I$14)</f>
        <v>#REF!</v>
      </c>
      <c r="K47" s="184" t="e">
        <f>COUNTIFS(РПЗ!#REF!,Справочно!$E24,РПЗ!$O:$O,ПП!$K$14)</f>
        <v>#REF!</v>
      </c>
      <c r="L47" s="442" t="e">
        <f>SUMIFS(РПЗ!$L:$L,РПЗ!#REF!,Справочно!$E24,РПЗ!$O:$O,ПП!$K$14)</f>
        <v>#REF!</v>
      </c>
      <c r="M47" s="229" t="e">
        <f t="shared" si="41"/>
        <v>#REF!</v>
      </c>
      <c r="N47" s="396" t="e">
        <f t="shared" si="42"/>
        <v>#REF!</v>
      </c>
      <c r="O47" s="231" t="e">
        <f>COUNTIFS(РПЗ!#REF!,Справочно!$E24,РПЗ!$O:$O,ПП!$O$14)</f>
        <v>#REF!</v>
      </c>
      <c r="P47" s="443" t="e">
        <f>SUMIFS(РПЗ!$L:$L,РПЗ!#REF!,Справочно!$E24,РПЗ!$O:$O,ПП!$O$14)</f>
        <v>#REF!</v>
      </c>
      <c r="Q47" s="223" t="e">
        <f>COUNTIFS(РПЗ!#REF!,Справочно!$E24,РПЗ!$O:$O,ПП!$Q$14)</f>
        <v>#REF!</v>
      </c>
      <c r="R47" s="443" t="e">
        <f>SUMIFS(РПЗ!$L:$L,РПЗ!#REF!,Справочно!$E24,РПЗ!$O:$O,ПП!$Q$14)</f>
        <v>#REF!</v>
      </c>
      <c r="S47" s="223" t="e">
        <f>COUNTIFS(РПЗ!#REF!,Справочно!$E24,РПЗ!$O:$O,ПП!$S$14)</f>
        <v>#REF!</v>
      </c>
      <c r="T47" s="444" t="e">
        <f>SUMIFS(РПЗ!$L:$L,РПЗ!#REF!,Справочно!$E24,РПЗ!$O:$O,ПП!$S$14)</f>
        <v>#REF!</v>
      </c>
      <c r="U47" s="233" t="e">
        <f t="shared" si="43"/>
        <v>#REF!</v>
      </c>
      <c r="V47" s="399" t="e">
        <f t="shared" si="44"/>
        <v>#REF!</v>
      </c>
      <c r="W47" s="236" t="e">
        <f>COUNTIFS(РПЗ!#REF!,Справочно!$E24,РПЗ!$O:$O,ПП!$W$14)</f>
        <v>#REF!</v>
      </c>
      <c r="X47" s="445" t="e">
        <f>SUMIFS(РПЗ!$L:$L,РПЗ!#REF!,Справочно!$E24,РПЗ!$O:$O,ПП!$W$14)</f>
        <v>#REF!</v>
      </c>
      <c r="Y47" s="180" t="e">
        <f>COUNTIFS(РПЗ!#REF!,Справочно!$E24,РПЗ!$O:$O,ПП!$Y$14)</f>
        <v>#REF!</v>
      </c>
      <c r="Z47" s="445" t="e">
        <f>SUMIFS(РПЗ!$L:$L,РПЗ!#REF!,Справочно!$E24,РПЗ!$O:$O,ПП!$Y$14)</f>
        <v>#REF!</v>
      </c>
      <c r="AA47" s="180" t="e">
        <f>COUNTIFS(РПЗ!#REF!,Справочно!$E24,РПЗ!$O:$O,ПП!$AA$14)</f>
        <v>#REF!</v>
      </c>
      <c r="AB47" s="446" t="e">
        <f>SUMIFS(РПЗ!$L:$L,РПЗ!#REF!,Справочно!$E24,РПЗ!$O:$O,ПП!$AA$14)</f>
        <v>#REF!</v>
      </c>
      <c r="AC47" s="234" t="e">
        <f t="shared" si="45"/>
        <v>#REF!</v>
      </c>
      <c r="AD47" s="402" t="e">
        <f t="shared" si="46"/>
        <v>#REF!</v>
      </c>
      <c r="AE47" s="241" t="e">
        <f>COUNTIFS(РПЗ!#REF!,Справочно!$E24,РПЗ!$O:$O,ПП!$AE$14)</f>
        <v>#REF!</v>
      </c>
      <c r="AF47" s="447" t="e">
        <f>SUMIFS(РПЗ!$L:$L,РПЗ!#REF!,Справочно!$E24,РПЗ!$O:$O,ПП!$AE$14)</f>
        <v>#REF!</v>
      </c>
      <c r="AG47" s="217" t="e">
        <f>COUNTIFS(РПЗ!#REF!,Справочно!$E24,РПЗ!$O:$O,ПП!$AG$14)</f>
        <v>#REF!</v>
      </c>
      <c r="AH47" s="447" t="e">
        <f>SUMIFS(РПЗ!$L:$L,РПЗ!#REF!,Справочно!$E24,РПЗ!$O:$O,ПП!$AG$14)</f>
        <v>#REF!</v>
      </c>
      <c r="AI47" s="217" t="e">
        <f>COUNTIFS(РПЗ!#REF!,Справочно!$E24,РПЗ!$O:$O,ПП!$AI$14)</f>
        <v>#REF!</v>
      </c>
      <c r="AJ47" s="448" t="e">
        <f>SUMIFS(РПЗ!$L:$L,РПЗ!#REF!,Справочно!$E24,РПЗ!$O:$O,ПП!$AI$14)</f>
        <v>#REF!</v>
      </c>
      <c r="AK47" s="238" t="e">
        <f t="shared" si="47"/>
        <v>#REF!</v>
      </c>
      <c r="AL47" s="405" t="e">
        <f t="shared" si="48"/>
        <v>#REF!</v>
      </c>
    </row>
    <row r="48" spans="1:38" ht="13.5" thickBot="1" x14ac:dyDescent="0.25">
      <c r="A48" s="93" t="str">
        <f>Справочно!E25</f>
        <v>ОАО "РТ-Медицина"</v>
      </c>
      <c r="B48" s="72" t="e">
        <f>COUNTIF(РПЗ!#REF!,Справочно!$E25)</f>
        <v>#REF!</v>
      </c>
      <c r="C48" s="427" t="e">
        <f t="shared" si="39"/>
        <v>#REF!</v>
      </c>
      <c r="D48" s="428" t="e">
        <f>SUMIF(РПЗ!#REF!,Справочно!$E25,РПЗ!$L:$L)</f>
        <v>#REF!</v>
      </c>
      <c r="E48" s="427" t="e">
        <f t="shared" si="40"/>
        <v>#REF!</v>
      </c>
      <c r="G48" s="183" t="e">
        <f>COUNTIFS(РПЗ!#REF!,Справочно!$E25,РПЗ!$O:$O,ПП!$G$14)</f>
        <v>#REF!</v>
      </c>
      <c r="H48" s="406" t="e">
        <f>SUMIFS(РПЗ!$L:$L,РПЗ!#REF!,Справочно!$E25,РПЗ!$O:$O,ПП!$G$14)</f>
        <v>#REF!</v>
      </c>
      <c r="I48" s="184" t="e">
        <f>COUNTIFS(РПЗ!#REF!,Справочно!$E25,РПЗ!$O:$O,ПП!$I$14)</f>
        <v>#REF!</v>
      </c>
      <c r="J48" s="406" t="e">
        <f>SUMIFS(РПЗ!$L:$L,РПЗ!#REF!,Справочно!$E25,РПЗ!$O:$O,ПП!$I$14)</f>
        <v>#REF!</v>
      </c>
      <c r="K48" s="184" t="e">
        <f>COUNTIFS(РПЗ!#REF!,Справочно!$E25,РПЗ!$O:$O,ПП!$K$14)</f>
        <v>#REF!</v>
      </c>
      <c r="L48" s="442" t="e">
        <f>SUMIFS(РПЗ!$L:$L,РПЗ!#REF!,Справочно!$E25,РПЗ!$O:$O,ПП!$K$14)</f>
        <v>#REF!</v>
      </c>
      <c r="M48" s="229" t="e">
        <f t="shared" si="41"/>
        <v>#REF!</v>
      </c>
      <c r="N48" s="396" t="e">
        <f t="shared" si="42"/>
        <v>#REF!</v>
      </c>
      <c r="O48" s="231" t="e">
        <f>COUNTIFS(РПЗ!#REF!,Справочно!$E25,РПЗ!$O:$O,ПП!$O$14)</f>
        <v>#REF!</v>
      </c>
      <c r="P48" s="443" t="e">
        <f>SUMIFS(РПЗ!$L:$L,РПЗ!#REF!,Справочно!$E25,РПЗ!$O:$O,ПП!$O$14)</f>
        <v>#REF!</v>
      </c>
      <c r="Q48" s="223" t="e">
        <f>COUNTIFS(РПЗ!#REF!,Справочно!$E25,РПЗ!$O:$O,ПП!$Q$14)</f>
        <v>#REF!</v>
      </c>
      <c r="R48" s="443" t="e">
        <f>SUMIFS(РПЗ!$L:$L,РПЗ!#REF!,Справочно!$E25,РПЗ!$O:$O,ПП!$Q$14)</f>
        <v>#REF!</v>
      </c>
      <c r="S48" s="223" t="e">
        <f>COUNTIFS(РПЗ!#REF!,Справочно!$E25,РПЗ!$O:$O,ПП!$S$14)</f>
        <v>#REF!</v>
      </c>
      <c r="T48" s="444" t="e">
        <f>SUMIFS(РПЗ!$L:$L,РПЗ!#REF!,Справочно!$E25,РПЗ!$O:$O,ПП!$S$14)</f>
        <v>#REF!</v>
      </c>
      <c r="U48" s="233" t="e">
        <f t="shared" si="43"/>
        <v>#REF!</v>
      </c>
      <c r="V48" s="399" t="e">
        <f t="shared" si="44"/>
        <v>#REF!</v>
      </c>
      <c r="W48" s="236" t="e">
        <f>COUNTIFS(РПЗ!#REF!,Справочно!$E25,РПЗ!$O:$O,ПП!$W$14)</f>
        <v>#REF!</v>
      </c>
      <c r="X48" s="445" t="e">
        <f>SUMIFS(РПЗ!$L:$L,РПЗ!#REF!,Справочно!$E25,РПЗ!$O:$O,ПП!$W$14)</f>
        <v>#REF!</v>
      </c>
      <c r="Y48" s="180" t="e">
        <f>COUNTIFS(РПЗ!#REF!,Справочно!$E25,РПЗ!$O:$O,ПП!$Y$14)</f>
        <v>#REF!</v>
      </c>
      <c r="Z48" s="445" t="e">
        <f>SUMIFS(РПЗ!$L:$L,РПЗ!#REF!,Справочно!$E25,РПЗ!$O:$O,ПП!$Y$14)</f>
        <v>#REF!</v>
      </c>
      <c r="AA48" s="180" t="e">
        <f>COUNTIFS(РПЗ!#REF!,Справочно!$E25,РПЗ!$O:$O,ПП!$AA$14)</f>
        <v>#REF!</v>
      </c>
      <c r="AB48" s="446" t="e">
        <f>SUMIFS(РПЗ!$L:$L,РПЗ!#REF!,Справочно!$E25,РПЗ!$O:$O,ПП!$AA$14)</f>
        <v>#REF!</v>
      </c>
      <c r="AC48" s="234" t="e">
        <f t="shared" si="45"/>
        <v>#REF!</v>
      </c>
      <c r="AD48" s="402" t="e">
        <f t="shared" si="46"/>
        <v>#REF!</v>
      </c>
      <c r="AE48" s="241" t="e">
        <f>COUNTIFS(РПЗ!#REF!,Справочно!$E25,РПЗ!$O:$O,ПП!$AE$14)</f>
        <v>#REF!</v>
      </c>
      <c r="AF48" s="447" t="e">
        <f>SUMIFS(РПЗ!$L:$L,РПЗ!#REF!,Справочно!$E25,РПЗ!$O:$O,ПП!$AE$14)</f>
        <v>#REF!</v>
      </c>
      <c r="AG48" s="217" t="e">
        <f>COUNTIFS(РПЗ!#REF!,Справочно!$E25,РПЗ!$O:$O,ПП!$AG$14)</f>
        <v>#REF!</v>
      </c>
      <c r="AH48" s="447" t="e">
        <f>SUMIFS(РПЗ!$L:$L,РПЗ!#REF!,Справочно!$E25,РПЗ!$O:$O,ПП!$AG$14)</f>
        <v>#REF!</v>
      </c>
      <c r="AI48" s="217" t="e">
        <f>COUNTIFS(РПЗ!#REF!,Справочно!$E25,РПЗ!$O:$O,ПП!$AI$14)</f>
        <v>#REF!</v>
      </c>
      <c r="AJ48" s="448" t="e">
        <f>SUMIFS(РПЗ!$L:$L,РПЗ!#REF!,Справочно!$E25,РПЗ!$O:$O,ПП!$AI$14)</f>
        <v>#REF!</v>
      </c>
      <c r="AK48" s="238" t="e">
        <f t="shared" si="47"/>
        <v>#REF!</v>
      </c>
      <c r="AL48" s="405" t="e">
        <f t="shared" si="48"/>
        <v>#REF!</v>
      </c>
    </row>
    <row r="49" spans="1:38" ht="13.5" thickBot="1" x14ac:dyDescent="0.25">
      <c r="A49" s="93" t="str">
        <f>Справочно!E26</f>
        <v>АО "Концерн "Автоматика"</v>
      </c>
      <c r="B49" s="72" t="e">
        <f>COUNTIF(РПЗ!#REF!,Справочно!$E26)</f>
        <v>#REF!</v>
      </c>
      <c r="C49" s="427" t="e">
        <f t="shared" si="39"/>
        <v>#REF!</v>
      </c>
      <c r="D49" s="428" t="e">
        <f>SUMIF(РПЗ!#REF!,Справочно!$E26,РПЗ!$L:$L)</f>
        <v>#REF!</v>
      </c>
      <c r="E49" s="427" t="e">
        <f t="shared" si="40"/>
        <v>#REF!</v>
      </c>
      <c r="G49" s="183" t="e">
        <f>COUNTIFS(РПЗ!#REF!,Справочно!$E26,РПЗ!$O:$O,ПП!$G$14)</f>
        <v>#REF!</v>
      </c>
      <c r="H49" s="406" t="e">
        <f>SUMIFS(РПЗ!$L:$L,РПЗ!#REF!,Справочно!$E26,РПЗ!$O:$O,ПП!$G$14)</f>
        <v>#REF!</v>
      </c>
      <c r="I49" s="184" t="e">
        <f>COUNTIFS(РПЗ!#REF!,Справочно!$E26,РПЗ!$O:$O,ПП!$I$14)</f>
        <v>#REF!</v>
      </c>
      <c r="J49" s="406" t="e">
        <f>SUMIFS(РПЗ!$L:$L,РПЗ!#REF!,Справочно!$E26,РПЗ!$O:$O,ПП!$I$14)</f>
        <v>#REF!</v>
      </c>
      <c r="K49" s="184" t="e">
        <f>COUNTIFS(РПЗ!#REF!,Справочно!$E26,РПЗ!$O:$O,ПП!$K$14)</f>
        <v>#REF!</v>
      </c>
      <c r="L49" s="442" t="e">
        <f>SUMIFS(РПЗ!$L:$L,РПЗ!#REF!,Справочно!$E26,РПЗ!$O:$O,ПП!$K$14)</f>
        <v>#REF!</v>
      </c>
      <c r="M49" s="229" t="e">
        <f t="shared" si="41"/>
        <v>#REF!</v>
      </c>
      <c r="N49" s="396" t="e">
        <f t="shared" si="42"/>
        <v>#REF!</v>
      </c>
      <c r="O49" s="231" t="e">
        <f>COUNTIFS(РПЗ!#REF!,Справочно!$E26,РПЗ!$O:$O,ПП!$O$14)</f>
        <v>#REF!</v>
      </c>
      <c r="P49" s="443" t="e">
        <f>SUMIFS(РПЗ!$L:$L,РПЗ!#REF!,Справочно!$E26,РПЗ!$O:$O,ПП!$O$14)</f>
        <v>#REF!</v>
      </c>
      <c r="Q49" s="223" t="e">
        <f>COUNTIFS(РПЗ!#REF!,Справочно!$E26,РПЗ!$O:$O,ПП!$Q$14)</f>
        <v>#REF!</v>
      </c>
      <c r="R49" s="443" t="e">
        <f>SUMIFS(РПЗ!$L:$L,РПЗ!#REF!,Справочно!$E26,РПЗ!$O:$O,ПП!$Q$14)</f>
        <v>#REF!</v>
      </c>
      <c r="S49" s="223" t="e">
        <f>COUNTIFS(РПЗ!#REF!,Справочно!$E26,РПЗ!$O:$O,ПП!$S$14)</f>
        <v>#REF!</v>
      </c>
      <c r="T49" s="444" t="e">
        <f>SUMIFS(РПЗ!$L:$L,РПЗ!#REF!,Справочно!$E26,РПЗ!$O:$O,ПП!$S$14)</f>
        <v>#REF!</v>
      </c>
      <c r="U49" s="233" t="e">
        <f t="shared" si="43"/>
        <v>#REF!</v>
      </c>
      <c r="V49" s="399" t="e">
        <f t="shared" si="44"/>
        <v>#REF!</v>
      </c>
      <c r="W49" s="236" t="e">
        <f>COUNTIFS(РПЗ!#REF!,Справочно!$E26,РПЗ!$O:$O,ПП!$W$14)</f>
        <v>#REF!</v>
      </c>
      <c r="X49" s="445" t="e">
        <f>SUMIFS(РПЗ!$L:$L,РПЗ!#REF!,Справочно!$E26,РПЗ!$O:$O,ПП!$W$14)</f>
        <v>#REF!</v>
      </c>
      <c r="Y49" s="180" t="e">
        <f>COUNTIFS(РПЗ!#REF!,Справочно!$E26,РПЗ!$O:$O,ПП!$Y$14)</f>
        <v>#REF!</v>
      </c>
      <c r="Z49" s="445" t="e">
        <f>SUMIFS(РПЗ!$L:$L,РПЗ!#REF!,Справочно!$E26,РПЗ!$O:$O,ПП!$Y$14)</f>
        <v>#REF!</v>
      </c>
      <c r="AA49" s="180" t="e">
        <f>COUNTIFS(РПЗ!#REF!,Справочно!$E26,РПЗ!$O:$O,ПП!$AA$14)</f>
        <v>#REF!</v>
      </c>
      <c r="AB49" s="446" t="e">
        <f>SUMIFS(РПЗ!$L:$L,РПЗ!#REF!,Справочно!$E26,РПЗ!$O:$O,ПП!$AA$14)</f>
        <v>#REF!</v>
      </c>
      <c r="AC49" s="234" t="e">
        <f t="shared" si="45"/>
        <v>#REF!</v>
      </c>
      <c r="AD49" s="402" t="e">
        <f t="shared" si="46"/>
        <v>#REF!</v>
      </c>
      <c r="AE49" s="241" t="e">
        <f>COUNTIFS(РПЗ!#REF!,Справочно!$E26,РПЗ!$O:$O,ПП!$AE$14)</f>
        <v>#REF!</v>
      </c>
      <c r="AF49" s="447" t="e">
        <f>SUMIFS(РПЗ!$L:$L,РПЗ!#REF!,Справочно!$E26,РПЗ!$O:$O,ПП!$AE$14)</f>
        <v>#REF!</v>
      </c>
      <c r="AG49" s="217" t="e">
        <f>COUNTIFS(РПЗ!#REF!,Справочно!$E26,РПЗ!$O:$O,ПП!$AG$14)</f>
        <v>#REF!</v>
      </c>
      <c r="AH49" s="447" t="e">
        <f>SUMIFS(РПЗ!$L:$L,РПЗ!#REF!,Справочно!$E26,РПЗ!$O:$O,ПП!$AG$14)</f>
        <v>#REF!</v>
      </c>
      <c r="AI49" s="217" t="e">
        <f>COUNTIFS(РПЗ!#REF!,Справочно!$E26,РПЗ!$O:$O,ПП!$AI$14)</f>
        <v>#REF!</v>
      </c>
      <c r="AJ49" s="448" t="e">
        <f>SUMIFS(РПЗ!$L:$L,РПЗ!#REF!,Справочно!$E26,РПЗ!$O:$O,ПП!$AI$14)</f>
        <v>#REF!</v>
      </c>
      <c r="AK49" s="238" t="e">
        <f t="shared" si="47"/>
        <v>#REF!</v>
      </c>
      <c r="AL49" s="405" t="e">
        <f t="shared" si="48"/>
        <v>#REF!</v>
      </c>
    </row>
    <row r="50" spans="1:38" ht="13.5" thickBot="1" x14ac:dyDescent="0.25">
      <c r="A50" s="93" t="str">
        <f>Справочно!E27</f>
        <v>АО "Станкопром"</v>
      </c>
      <c r="B50" s="72" t="e">
        <f>COUNTIF(РПЗ!#REF!,Справочно!$E27)</f>
        <v>#REF!</v>
      </c>
      <c r="C50" s="427" t="e">
        <f t="shared" si="39"/>
        <v>#REF!</v>
      </c>
      <c r="D50" s="428" t="e">
        <f>SUMIF(РПЗ!#REF!,Справочно!$E27,РПЗ!$L:$L)</f>
        <v>#REF!</v>
      </c>
      <c r="E50" s="427" t="e">
        <f t="shared" si="40"/>
        <v>#REF!</v>
      </c>
      <c r="G50" s="183" t="e">
        <f>COUNTIFS(РПЗ!#REF!,Справочно!$E27,РПЗ!$O:$O,ПП!$G$14)</f>
        <v>#REF!</v>
      </c>
      <c r="H50" s="406" t="e">
        <f>SUMIFS(РПЗ!$L:$L,РПЗ!#REF!,Справочно!$E27,РПЗ!$O:$O,ПП!$G$14)</f>
        <v>#REF!</v>
      </c>
      <c r="I50" s="184" t="e">
        <f>COUNTIFS(РПЗ!#REF!,Справочно!$E27,РПЗ!$O:$O,ПП!$I$14)</f>
        <v>#REF!</v>
      </c>
      <c r="J50" s="406" t="e">
        <f>SUMIFS(РПЗ!$L:$L,РПЗ!#REF!,Справочно!$E27,РПЗ!$O:$O,ПП!$I$14)</f>
        <v>#REF!</v>
      </c>
      <c r="K50" s="184" t="e">
        <f>COUNTIFS(РПЗ!#REF!,Справочно!$E27,РПЗ!$O:$O,ПП!$K$14)</f>
        <v>#REF!</v>
      </c>
      <c r="L50" s="442" t="e">
        <f>SUMIFS(РПЗ!$L:$L,РПЗ!#REF!,Справочно!$E27,РПЗ!$O:$O,ПП!$K$14)</f>
        <v>#REF!</v>
      </c>
      <c r="M50" s="229" t="e">
        <f t="shared" si="41"/>
        <v>#REF!</v>
      </c>
      <c r="N50" s="396" t="e">
        <f t="shared" si="42"/>
        <v>#REF!</v>
      </c>
      <c r="O50" s="231" t="e">
        <f>COUNTIFS(РПЗ!#REF!,Справочно!$E27,РПЗ!$O:$O,ПП!$O$14)</f>
        <v>#REF!</v>
      </c>
      <c r="P50" s="443" t="e">
        <f>SUMIFS(РПЗ!$L:$L,РПЗ!#REF!,Справочно!$E27,РПЗ!$O:$O,ПП!$O$14)</f>
        <v>#REF!</v>
      </c>
      <c r="Q50" s="223" t="e">
        <f>COUNTIFS(РПЗ!#REF!,Справочно!$E27,РПЗ!$O:$O,ПП!$Q$14)</f>
        <v>#REF!</v>
      </c>
      <c r="R50" s="443" t="e">
        <f>SUMIFS(РПЗ!$L:$L,РПЗ!#REF!,Справочно!$E27,РПЗ!$O:$O,ПП!$Q$14)</f>
        <v>#REF!</v>
      </c>
      <c r="S50" s="223" t="e">
        <f>COUNTIFS(РПЗ!#REF!,Справочно!$E27,РПЗ!$O:$O,ПП!$S$14)</f>
        <v>#REF!</v>
      </c>
      <c r="T50" s="444" t="e">
        <f>SUMIFS(РПЗ!$L:$L,РПЗ!#REF!,Справочно!$E27,РПЗ!$O:$O,ПП!$S$14)</f>
        <v>#REF!</v>
      </c>
      <c r="U50" s="233" t="e">
        <f t="shared" si="43"/>
        <v>#REF!</v>
      </c>
      <c r="V50" s="399" t="e">
        <f t="shared" si="44"/>
        <v>#REF!</v>
      </c>
      <c r="W50" s="236" t="e">
        <f>COUNTIFS(РПЗ!#REF!,Справочно!$E27,РПЗ!$O:$O,ПП!$W$14)</f>
        <v>#REF!</v>
      </c>
      <c r="X50" s="445" t="e">
        <f>SUMIFS(РПЗ!$L:$L,РПЗ!#REF!,Справочно!$E27,РПЗ!$O:$O,ПП!$W$14)</f>
        <v>#REF!</v>
      </c>
      <c r="Y50" s="180" t="e">
        <f>COUNTIFS(РПЗ!#REF!,Справочно!$E27,РПЗ!$O:$O,ПП!$Y$14)</f>
        <v>#REF!</v>
      </c>
      <c r="Z50" s="445" t="e">
        <f>SUMIFS(РПЗ!$L:$L,РПЗ!#REF!,Справочно!$E27,РПЗ!$O:$O,ПП!$Y$14)</f>
        <v>#REF!</v>
      </c>
      <c r="AA50" s="180" t="e">
        <f>COUNTIFS(РПЗ!#REF!,Справочно!$E27,РПЗ!$O:$O,ПП!$AA$14)</f>
        <v>#REF!</v>
      </c>
      <c r="AB50" s="446" t="e">
        <f>SUMIFS(РПЗ!$L:$L,РПЗ!#REF!,Справочно!$E27,РПЗ!$O:$O,ПП!$AA$14)</f>
        <v>#REF!</v>
      </c>
      <c r="AC50" s="234" t="e">
        <f t="shared" si="45"/>
        <v>#REF!</v>
      </c>
      <c r="AD50" s="402" t="e">
        <f t="shared" si="46"/>
        <v>#REF!</v>
      </c>
      <c r="AE50" s="241" t="e">
        <f>COUNTIFS(РПЗ!#REF!,Справочно!$E27,РПЗ!$O:$O,ПП!$AE$14)</f>
        <v>#REF!</v>
      </c>
      <c r="AF50" s="447" t="e">
        <f>SUMIFS(РПЗ!$L:$L,РПЗ!#REF!,Справочно!$E27,РПЗ!$O:$O,ПП!$AE$14)</f>
        <v>#REF!</v>
      </c>
      <c r="AG50" s="217" t="e">
        <f>COUNTIFS(РПЗ!#REF!,Справочно!$E27,РПЗ!$O:$O,ПП!$AG$14)</f>
        <v>#REF!</v>
      </c>
      <c r="AH50" s="447" t="e">
        <f>SUMIFS(РПЗ!$L:$L,РПЗ!#REF!,Справочно!$E27,РПЗ!$O:$O,ПП!$AG$14)</f>
        <v>#REF!</v>
      </c>
      <c r="AI50" s="217" t="e">
        <f>COUNTIFS(РПЗ!#REF!,Справочно!$E27,РПЗ!$O:$O,ПП!$AI$14)</f>
        <v>#REF!</v>
      </c>
      <c r="AJ50" s="448" t="e">
        <f>SUMIFS(РПЗ!$L:$L,РПЗ!#REF!,Справочно!$E27,РПЗ!$O:$O,ПП!$AI$14)</f>
        <v>#REF!</v>
      </c>
      <c r="AK50" s="238" t="e">
        <f t="shared" si="47"/>
        <v>#REF!</v>
      </c>
      <c r="AL50" s="405" t="e">
        <f t="shared" si="48"/>
        <v>#REF!</v>
      </c>
    </row>
    <row r="51" spans="1:38" ht="13.5" thickBot="1" x14ac:dyDescent="0.25">
      <c r="A51" s="93" t="str">
        <f>Справочно!E28</f>
        <v>АО "СИБЕР"</v>
      </c>
      <c r="B51" s="72" t="e">
        <f>COUNTIF(РПЗ!#REF!,Справочно!$E28)</f>
        <v>#REF!</v>
      </c>
      <c r="C51" s="427" t="e">
        <f t="shared" si="39"/>
        <v>#REF!</v>
      </c>
      <c r="D51" s="428" t="e">
        <f>SUMIF(РПЗ!#REF!,Справочно!$E28,РПЗ!$L:$L)</f>
        <v>#REF!</v>
      </c>
      <c r="E51" s="427" t="e">
        <f t="shared" si="40"/>
        <v>#REF!</v>
      </c>
      <c r="G51" s="183" t="e">
        <f>COUNTIFS(РПЗ!#REF!,Справочно!$E28,РПЗ!$O:$O,ПП!$G$14)</f>
        <v>#REF!</v>
      </c>
      <c r="H51" s="406" t="e">
        <f>SUMIFS(РПЗ!$L:$L,РПЗ!#REF!,Справочно!$E28,РПЗ!$O:$O,ПП!$G$14)</f>
        <v>#REF!</v>
      </c>
      <c r="I51" s="184" t="e">
        <f>COUNTIFS(РПЗ!#REF!,Справочно!$E28,РПЗ!$O:$O,ПП!$I$14)</f>
        <v>#REF!</v>
      </c>
      <c r="J51" s="406" t="e">
        <f>SUMIFS(РПЗ!$L:$L,РПЗ!#REF!,Справочно!$E28,РПЗ!$O:$O,ПП!$I$14)</f>
        <v>#REF!</v>
      </c>
      <c r="K51" s="184" t="e">
        <f>COUNTIFS(РПЗ!#REF!,Справочно!$E28,РПЗ!$O:$O,ПП!$K$14)</f>
        <v>#REF!</v>
      </c>
      <c r="L51" s="442" t="e">
        <f>SUMIFS(РПЗ!$L:$L,РПЗ!#REF!,Справочно!$E28,РПЗ!$O:$O,ПП!$K$14)</f>
        <v>#REF!</v>
      </c>
      <c r="M51" s="229" t="e">
        <f t="shared" si="41"/>
        <v>#REF!</v>
      </c>
      <c r="N51" s="396" t="e">
        <f t="shared" si="42"/>
        <v>#REF!</v>
      </c>
      <c r="O51" s="231" t="e">
        <f>COUNTIFS(РПЗ!#REF!,Справочно!$E28,РПЗ!$O:$O,ПП!$O$14)</f>
        <v>#REF!</v>
      </c>
      <c r="P51" s="443" t="e">
        <f>SUMIFS(РПЗ!$L:$L,РПЗ!#REF!,Справочно!$E28,РПЗ!$O:$O,ПП!$O$14)</f>
        <v>#REF!</v>
      </c>
      <c r="Q51" s="223" t="e">
        <f>COUNTIFS(РПЗ!#REF!,Справочно!$E28,РПЗ!$O:$O,ПП!$Q$14)</f>
        <v>#REF!</v>
      </c>
      <c r="R51" s="443" t="e">
        <f>SUMIFS(РПЗ!$L:$L,РПЗ!#REF!,Справочно!$E28,РПЗ!$O:$O,ПП!$Q$14)</f>
        <v>#REF!</v>
      </c>
      <c r="S51" s="223" t="e">
        <f>COUNTIFS(РПЗ!#REF!,Справочно!$E28,РПЗ!$O:$O,ПП!$S$14)</f>
        <v>#REF!</v>
      </c>
      <c r="T51" s="444" t="e">
        <f>SUMIFS(РПЗ!$L:$L,РПЗ!#REF!,Справочно!$E28,РПЗ!$O:$O,ПП!$S$14)</f>
        <v>#REF!</v>
      </c>
      <c r="U51" s="233" t="e">
        <f t="shared" si="43"/>
        <v>#REF!</v>
      </c>
      <c r="V51" s="399" t="e">
        <f t="shared" si="44"/>
        <v>#REF!</v>
      </c>
      <c r="W51" s="236" t="e">
        <f>COUNTIFS(РПЗ!#REF!,Справочно!$E28,РПЗ!$O:$O,ПП!$W$14)</f>
        <v>#REF!</v>
      </c>
      <c r="X51" s="445" t="e">
        <f>SUMIFS(РПЗ!$L:$L,РПЗ!#REF!,Справочно!$E28,РПЗ!$O:$O,ПП!$W$14)</f>
        <v>#REF!</v>
      </c>
      <c r="Y51" s="180" t="e">
        <f>COUNTIFS(РПЗ!#REF!,Справочно!$E28,РПЗ!$O:$O,ПП!$Y$14)</f>
        <v>#REF!</v>
      </c>
      <c r="Z51" s="445" t="e">
        <f>SUMIFS(РПЗ!$L:$L,РПЗ!#REF!,Справочно!$E28,РПЗ!$O:$O,ПП!$Y$14)</f>
        <v>#REF!</v>
      </c>
      <c r="AA51" s="180" t="e">
        <f>COUNTIFS(РПЗ!#REF!,Справочно!$E28,РПЗ!$O:$O,ПП!$AA$14)</f>
        <v>#REF!</v>
      </c>
      <c r="AB51" s="446" t="e">
        <f>SUMIFS(РПЗ!$L:$L,РПЗ!#REF!,Справочно!$E28,РПЗ!$O:$O,ПП!$AA$14)</f>
        <v>#REF!</v>
      </c>
      <c r="AC51" s="234" t="e">
        <f t="shared" si="45"/>
        <v>#REF!</v>
      </c>
      <c r="AD51" s="402" t="e">
        <f t="shared" si="46"/>
        <v>#REF!</v>
      </c>
      <c r="AE51" s="241" t="e">
        <f>COUNTIFS(РПЗ!#REF!,Справочно!$E28,РПЗ!$O:$O,ПП!$AE$14)</f>
        <v>#REF!</v>
      </c>
      <c r="AF51" s="447" t="e">
        <f>SUMIFS(РПЗ!$L:$L,РПЗ!#REF!,Справочно!$E28,РПЗ!$O:$O,ПП!$AE$14)</f>
        <v>#REF!</v>
      </c>
      <c r="AG51" s="217" t="e">
        <f>COUNTIFS(РПЗ!#REF!,Справочно!$E28,РПЗ!$O:$O,ПП!$AG$14)</f>
        <v>#REF!</v>
      </c>
      <c r="AH51" s="447" t="e">
        <f>SUMIFS(РПЗ!$L:$L,РПЗ!#REF!,Справочно!$E28,РПЗ!$O:$O,ПП!$AG$14)</f>
        <v>#REF!</v>
      </c>
      <c r="AI51" s="217" t="e">
        <f>COUNTIFS(РПЗ!#REF!,Справочно!$E28,РПЗ!$O:$O,ПП!$AI$14)</f>
        <v>#REF!</v>
      </c>
      <c r="AJ51" s="448" t="e">
        <f>SUMIFS(РПЗ!$L:$L,РПЗ!#REF!,Справочно!$E28,РПЗ!$O:$O,ПП!$AI$14)</f>
        <v>#REF!</v>
      </c>
      <c r="AK51" s="238" t="e">
        <f t="shared" si="47"/>
        <v>#REF!</v>
      </c>
      <c r="AL51" s="405" t="e">
        <f t="shared" si="48"/>
        <v>#REF!</v>
      </c>
    </row>
    <row r="52" spans="1:38" ht="26.25" thickBot="1" x14ac:dyDescent="0.25">
      <c r="A52" s="93" t="str">
        <f>Справочно!E29</f>
        <v>АО "Объединенная двигателестроительная корпорация"</v>
      </c>
      <c r="B52" s="72" t="e">
        <f>COUNTIF(РПЗ!#REF!,Справочно!$E29)</f>
        <v>#REF!</v>
      </c>
      <c r="C52" s="418" t="e">
        <f t="shared" si="39"/>
        <v>#REF!</v>
      </c>
      <c r="D52" s="428" t="e">
        <f>SUMIF(РПЗ!#REF!,Справочно!$E29,РПЗ!$L:$L)</f>
        <v>#REF!</v>
      </c>
      <c r="E52" s="418" t="e">
        <f t="shared" si="40"/>
        <v>#REF!</v>
      </c>
      <c r="F52" s="45"/>
      <c r="G52" s="183" t="e">
        <f>COUNTIFS(РПЗ!#REF!,Справочно!$E29,РПЗ!$O:$O,ПП!$G$14)</f>
        <v>#REF!</v>
      </c>
      <c r="H52" s="406" t="e">
        <f>SUMIFS(РПЗ!$L:$L,РПЗ!#REF!,Справочно!$E29,РПЗ!$O:$O,ПП!$G$14)</f>
        <v>#REF!</v>
      </c>
      <c r="I52" s="184" t="e">
        <f>COUNTIFS(РПЗ!#REF!,Справочно!$E29,РПЗ!$O:$O,ПП!$I$14)</f>
        <v>#REF!</v>
      </c>
      <c r="J52" s="406" t="e">
        <f>SUMIFS(РПЗ!$L:$L,РПЗ!#REF!,Справочно!$E29,РПЗ!$O:$O,ПП!$I$14)</f>
        <v>#REF!</v>
      </c>
      <c r="K52" s="184" t="e">
        <f>COUNTIFS(РПЗ!#REF!,Справочно!$E29,РПЗ!$O:$O,ПП!$K$14)</f>
        <v>#REF!</v>
      </c>
      <c r="L52" s="442" t="e">
        <f>SUMIFS(РПЗ!$L:$L,РПЗ!#REF!,Справочно!$E29,РПЗ!$O:$O,ПП!$K$14)</f>
        <v>#REF!</v>
      </c>
      <c r="M52" s="229" t="e">
        <f t="shared" si="41"/>
        <v>#REF!</v>
      </c>
      <c r="N52" s="396" t="e">
        <f t="shared" si="42"/>
        <v>#REF!</v>
      </c>
      <c r="O52" s="231" t="e">
        <f>COUNTIFS(РПЗ!#REF!,Справочно!$E29,РПЗ!$O:$O,ПП!$O$14)</f>
        <v>#REF!</v>
      </c>
      <c r="P52" s="443" t="e">
        <f>SUMIFS(РПЗ!$L:$L,РПЗ!#REF!,Справочно!$E29,РПЗ!$O:$O,ПП!$O$14)</f>
        <v>#REF!</v>
      </c>
      <c r="Q52" s="223" t="e">
        <f>COUNTIFS(РПЗ!#REF!,Справочно!$E29,РПЗ!$O:$O,ПП!$Q$14)</f>
        <v>#REF!</v>
      </c>
      <c r="R52" s="443" t="e">
        <f>SUMIFS(РПЗ!$L:$L,РПЗ!#REF!,Справочно!$E29,РПЗ!$O:$O,ПП!$Q$14)</f>
        <v>#REF!</v>
      </c>
      <c r="S52" s="223" t="e">
        <f>COUNTIFS(РПЗ!#REF!,Справочно!$E29,РПЗ!$O:$O,ПП!$S$14)</f>
        <v>#REF!</v>
      </c>
      <c r="T52" s="444" t="e">
        <f>SUMIFS(РПЗ!$L:$L,РПЗ!#REF!,Справочно!$E29,РПЗ!$O:$O,ПП!$S$14)</f>
        <v>#REF!</v>
      </c>
      <c r="U52" s="233" t="e">
        <f t="shared" si="43"/>
        <v>#REF!</v>
      </c>
      <c r="V52" s="399" t="e">
        <f t="shared" si="44"/>
        <v>#REF!</v>
      </c>
      <c r="W52" s="236" t="e">
        <f>COUNTIFS(РПЗ!#REF!,Справочно!$E29,РПЗ!$O:$O,ПП!$W$14)</f>
        <v>#REF!</v>
      </c>
      <c r="X52" s="445" t="e">
        <f>SUMIFS(РПЗ!$L:$L,РПЗ!#REF!,Справочно!$E29,РПЗ!$O:$O,ПП!$W$14)</f>
        <v>#REF!</v>
      </c>
      <c r="Y52" s="180" t="e">
        <f>COUNTIFS(РПЗ!#REF!,Справочно!$E29,РПЗ!$O:$O,ПП!$Y$14)</f>
        <v>#REF!</v>
      </c>
      <c r="Z52" s="445" t="e">
        <f>SUMIFS(РПЗ!$L:$L,РПЗ!#REF!,Справочно!$E29,РПЗ!$O:$O,ПП!$Y$14)</f>
        <v>#REF!</v>
      </c>
      <c r="AA52" s="180" t="e">
        <f>COUNTIFS(РПЗ!#REF!,Справочно!$E29,РПЗ!$O:$O,ПП!$AA$14)</f>
        <v>#REF!</v>
      </c>
      <c r="AB52" s="446" t="e">
        <f>SUMIFS(РПЗ!$L:$L,РПЗ!#REF!,Справочно!$E29,РПЗ!$O:$O,ПП!$AA$14)</f>
        <v>#REF!</v>
      </c>
      <c r="AC52" s="234" t="e">
        <f t="shared" si="45"/>
        <v>#REF!</v>
      </c>
      <c r="AD52" s="402" t="e">
        <f t="shared" si="46"/>
        <v>#REF!</v>
      </c>
      <c r="AE52" s="241" t="e">
        <f>COUNTIFS(РПЗ!#REF!,Справочно!$E29,РПЗ!$O:$O,ПП!$AE$14)</f>
        <v>#REF!</v>
      </c>
      <c r="AF52" s="447" t="e">
        <f>SUMIFS(РПЗ!$L:$L,РПЗ!#REF!,Справочно!$E29,РПЗ!$O:$O,ПП!$AE$14)</f>
        <v>#REF!</v>
      </c>
      <c r="AG52" s="217" t="e">
        <f>COUNTIFS(РПЗ!#REF!,Справочно!$E29,РПЗ!$O:$O,ПП!$AG$14)</f>
        <v>#REF!</v>
      </c>
      <c r="AH52" s="447" t="e">
        <f>SUMIFS(РПЗ!$L:$L,РПЗ!#REF!,Справочно!$E29,РПЗ!$O:$O,ПП!$AG$14)</f>
        <v>#REF!</v>
      </c>
      <c r="AI52" s="217" t="e">
        <f>COUNTIFS(РПЗ!#REF!,Справочно!$E29,РПЗ!$O:$O,ПП!$AI$14)</f>
        <v>#REF!</v>
      </c>
      <c r="AJ52" s="448" t="e">
        <f>SUMIFS(РПЗ!$L:$L,РПЗ!#REF!,Справочно!$E29,РПЗ!$O:$O,ПП!$AI$14)</f>
        <v>#REF!</v>
      </c>
      <c r="AK52" s="238" t="e">
        <f t="shared" si="47"/>
        <v>#REF!</v>
      </c>
      <c r="AL52" s="405" t="e">
        <f t="shared" si="48"/>
        <v>#REF!</v>
      </c>
    </row>
    <row r="53" spans="1:38" ht="13.5" thickBot="1" x14ac:dyDescent="0.25">
      <c r="A53" s="93" t="str">
        <f>Справочно!E30</f>
        <v>ООО "РТ-Информ"</v>
      </c>
      <c r="B53" s="72" t="e">
        <f>COUNTIF(РПЗ!#REF!,Справочно!$E30)</f>
        <v>#REF!</v>
      </c>
      <c r="C53" s="427" t="e">
        <f t="shared" si="39"/>
        <v>#REF!</v>
      </c>
      <c r="D53" s="428" t="e">
        <f>SUMIF(РПЗ!#REF!,Справочно!$E30,РПЗ!$L:$L)</f>
        <v>#REF!</v>
      </c>
      <c r="E53" s="427" t="e">
        <f t="shared" si="40"/>
        <v>#REF!</v>
      </c>
      <c r="G53" s="183" t="e">
        <f>COUNTIFS(РПЗ!#REF!,Справочно!$E30,РПЗ!$O:$O,ПП!$G$14)</f>
        <v>#REF!</v>
      </c>
      <c r="H53" s="406" t="e">
        <f>SUMIFS(РПЗ!$L:$L,РПЗ!#REF!,Справочно!$E30,РПЗ!$O:$O,ПП!$G$14)</f>
        <v>#REF!</v>
      </c>
      <c r="I53" s="184" t="e">
        <f>COUNTIFS(РПЗ!#REF!,Справочно!$E30,РПЗ!$O:$O,ПП!$I$14)</f>
        <v>#REF!</v>
      </c>
      <c r="J53" s="406" t="e">
        <f>SUMIFS(РПЗ!$L:$L,РПЗ!#REF!,Справочно!$E30,РПЗ!$O:$O,ПП!$I$14)</f>
        <v>#REF!</v>
      </c>
      <c r="K53" s="184" t="e">
        <f>COUNTIFS(РПЗ!#REF!,Справочно!$E30,РПЗ!$O:$O,ПП!$K$14)</f>
        <v>#REF!</v>
      </c>
      <c r="L53" s="442" t="e">
        <f>SUMIFS(РПЗ!$L:$L,РПЗ!#REF!,Справочно!$E30,РПЗ!$O:$O,ПП!$K$14)</f>
        <v>#REF!</v>
      </c>
      <c r="M53" s="229" t="e">
        <f t="shared" si="41"/>
        <v>#REF!</v>
      </c>
      <c r="N53" s="396" t="e">
        <f t="shared" si="42"/>
        <v>#REF!</v>
      </c>
      <c r="O53" s="231" t="e">
        <f>COUNTIFS(РПЗ!#REF!,Справочно!$E30,РПЗ!$O:$O,ПП!$O$14)</f>
        <v>#REF!</v>
      </c>
      <c r="P53" s="443" t="e">
        <f>SUMIFS(РПЗ!$L:$L,РПЗ!#REF!,Справочно!$E30,РПЗ!$O:$O,ПП!$O$14)</f>
        <v>#REF!</v>
      </c>
      <c r="Q53" s="223" t="e">
        <f>COUNTIFS(РПЗ!#REF!,Справочно!$E30,РПЗ!$O:$O,ПП!$Q$14)</f>
        <v>#REF!</v>
      </c>
      <c r="R53" s="443" t="e">
        <f>SUMIFS(РПЗ!$L:$L,РПЗ!#REF!,Справочно!$E30,РПЗ!$O:$O,ПП!$Q$14)</f>
        <v>#REF!</v>
      </c>
      <c r="S53" s="223" t="e">
        <f>COUNTIFS(РПЗ!#REF!,Справочно!$E30,РПЗ!$O:$O,ПП!$S$14)</f>
        <v>#REF!</v>
      </c>
      <c r="T53" s="444" t="e">
        <f>SUMIFS(РПЗ!$L:$L,РПЗ!#REF!,Справочно!$E30,РПЗ!$O:$O,ПП!$S$14)</f>
        <v>#REF!</v>
      </c>
      <c r="U53" s="233" t="e">
        <f t="shared" si="43"/>
        <v>#REF!</v>
      </c>
      <c r="V53" s="399" t="e">
        <f t="shared" si="44"/>
        <v>#REF!</v>
      </c>
      <c r="W53" s="236" t="e">
        <f>COUNTIFS(РПЗ!#REF!,Справочно!$E30,РПЗ!$O:$O,ПП!$W$14)</f>
        <v>#REF!</v>
      </c>
      <c r="X53" s="445" t="e">
        <f>SUMIFS(РПЗ!$L:$L,РПЗ!#REF!,Справочно!$E30,РПЗ!$O:$O,ПП!$W$14)</f>
        <v>#REF!</v>
      </c>
      <c r="Y53" s="180" t="e">
        <f>COUNTIFS(РПЗ!#REF!,Справочно!$E30,РПЗ!$O:$O,ПП!$Y$14)</f>
        <v>#REF!</v>
      </c>
      <c r="Z53" s="445" t="e">
        <f>SUMIFS(РПЗ!$L:$L,РПЗ!#REF!,Справочно!$E30,РПЗ!$O:$O,ПП!$Y$14)</f>
        <v>#REF!</v>
      </c>
      <c r="AA53" s="180" t="e">
        <f>COUNTIFS(РПЗ!#REF!,Справочно!$E30,РПЗ!$O:$O,ПП!$AA$14)</f>
        <v>#REF!</v>
      </c>
      <c r="AB53" s="446" t="e">
        <f>SUMIFS(РПЗ!$L:$L,РПЗ!#REF!,Справочно!$E30,РПЗ!$O:$O,ПП!$AA$14)</f>
        <v>#REF!</v>
      </c>
      <c r="AC53" s="234" t="e">
        <f t="shared" si="45"/>
        <v>#REF!</v>
      </c>
      <c r="AD53" s="402" t="e">
        <f t="shared" si="46"/>
        <v>#REF!</v>
      </c>
      <c r="AE53" s="241" t="e">
        <f>COUNTIFS(РПЗ!#REF!,Справочно!$E30,РПЗ!$O:$O,ПП!$AE$14)</f>
        <v>#REF!</v>
      </c>
      <c r="AF53" s="447" t="e">
        <f>SUMIFS(РПЗ!$L:$L,РПЗ!#REF!,Справочно!$E30,РПЗ!$O:$O,ПП!$AE$14)</f>
        <v>#REF!</v>
      </c>
      <c r="AG53" s="217" t="e">
        <f>COUNTIFS(РПЗ!#REF!,Справочно!$E30,РПЗ!$O:$O,ПП!$AG$14)</f>
        <v>#REF!</v>
      </c>
      <c r="AH53" s="447" t="e">
        <f>SUMIFS(РПЗ!$L:$L,РПЗ!#REF!,Справочно!$E30,РПЗ!$O:$O,ПП!$AG$14)</f>
        <v>#REF!</v>
      </c>
      <c r="AI53" s="217" t="e">
        <f>COUNTIFS(РПЗ!#REF!,Справочно!$E30,РПЗ!$O:$O,ПП!$AI$14)</f>
        <v>#REF!</v>
      </c>
      <c r="AJ53" s="448" t="e">
        <f>SUMIFS(РПЗ!$L:$L,РПЗ!#REF!,Справочно!$E30,РПЗ!$O:$O,ПП!$AI$14)</f>
        <v>#REF!</v>
      </c>
      <c r="AK53" s="238" t="e">
        <f t="shared" si="47"/>
        <v>#REF!</v>
      </c>
      <c r="AL53" s="405" t="e">
        <f t="shared" si="48"/>
        <v>#REF!</v>
      </c>
    </row>
    <row r="54" spans="1:38" ht="13.5" thickBot="1" x14ac:dyDescent="0.25">
      <c r="A54" s="93" t="str">
        <f>Справочно!E31</f>
        <v>ООО "РТ-Комплектимпекс"</v>
      </c>
      <c r="B54" s="72" t="e">
        <f>COUNTIF(РПЗ!#REF!,Справочно!$E31)</f>
        <v>#REF!</v>
      </c>
      <c r="C54" s="427" t="e">
        <f t="shared" si="39"/>
        <v>#REF!</v>
      </c>
      <c r="D54" s="428" t="e">
        <f>SUMIF(РПЗ!#REF!,Справочно!$E31,РПЗ!$L:$L)</f>
        <v>#REF!</v>
      </c>
      <c r="E54" s="427" t="e">
        <f t="shared" si="40"/>
        <v>#REF!</v>
      </c>
      <c r="G54" s="183" t="e">
        <f>COUNTIFS(РПЗ!#REF!,Справочно!$E31,РПЗ!$O:$O,ПП!$G$14)</f>
        <v>#REF!</v>
      </c>
      <c r="H54" s="406" t="e">
        <f>SUMIFS(РПЗ!$L:$L,РПЗ!#REF!,Справочно!$E31,РПЗ!$O:$O,ПП!$G$14)</f>
        <v>#REF!</v>
      </c>
      <c r="I54" s="184" t="e">
        <f>COUNTIFS(РПЗ!#REF!,Справочно!$E31,РПЗ!$O:$O,ПП!$I$14)</f>
        <v>#REF!</v>
      </c>
      <c r="J54" s="406" t="e">
        <f>SUMIFS(РПЗ!$L:$L,РПЗ!#REF!,Справочно!$E31,РПЗ!$O:$O,ПП!$I$14)</f>
        <v>#REF!</v>
      </c>
      <c r="K54" s="184" t="e">
        <f>COUNTIFS(РПЗ!#REF!,Справочно!$E31,РПЗ!$O:$O,ПП!$K$14)</f>
        <v>#REF!</v>
      </c>
      <c r="L54" s="442" t="e">
        <f>SUMIFS(РПЗ!$L:$L,РПЗ!#REF!,Справочно!$E31,РПЗ!$O:$O,ПП!$K$14)</f>
        <v>#REF!</v>
      </c>
      <c r="M54" s="229" t="e">
        <f t="shared" si="41"/>
        <v>#REF!</v>
      </c>
      <c r="N54" s="396" t="e">
        <f t="shared" si="42"/>
        <v>#REF!</v>
      </c>
      <c r="O54" s="231" t="e">
        <f>COUNTIFS(РПЗ!#REF!,Справочно!$E31,РПЗ!$O:$O,ПП!$O$14)</f>
        <v>#REF!</v>
      </c>
      <c r="P54" s="443" t="e">
        <f>SUMIFS(РПЗ!$L:$L,РПЗ!#REF!,Справочно!$E31,РПЗ!$O:$O,ПП!$O$14)</f>
        <v>#REF!</v>
      </c>
      <c r="Q54" s="223" t="e">
        <f>COUNTIFS(РПЗ!#REF!,Справочно!$E31,РПЗ!$O:$O,ПП!$Q$14)</f>
        <v>#REF!</v>
      </c>
      <c r="R54" s="443" t="e">
        <f>SUMIFS(РПЗ!$L:$L,РПЗ!#REF!,Справочно!$E31,РПЗ!$O:$O,ПП!$Q$14)</f>
        <v>#REF!</v>
      </c>
      <c r="S54" s="223" t="e">
        <f>COUNTIFS(РПЗ!#REF!,Справочно!$E31,РПЗ!$O:$O,ПП!$S$14)</f>
        <v>#REF!</v>
      </c>
      <c r="T54" s="444" t="e">
        <f>SUMIFS(РПЗ!$L:$L,РПЗ!#REF!,Справочно!$E31,РПЗ!$O:$O,ПП!$S$14)</f>
        <v>#REF!</v>
      </c>
      <c r="U54" s="233" t="e">
        <f t="shared" si="43"/>
        <v>#REF!</v>
      </c>
      <c r="V54" s="399" t="e">
        <f t="shared" si="44"/>
        <v>#REF!</v>
      </c>
      <c r="W54" s="236" t="e">
        <f>COUNTIFS(РПЗ!#REF!,Справочно!$E31,РПЗ!$O:$O,ПП!$W$14)</f>
        <v>#REF!</v>
      </c>
      <c r="X54" s="445" t="e">
        <f>SUMIFS(РПЗ!$L:$L,РПЗ!#REF!,Справочно!$E31,РПЗ!$O:$O,ПП!$W$14)</f>
        <v>#REF!</v>
      </c>
      <c r="Y54" s="180" t="e">
        <f>COUNTIFS(РПЗ!#REF!,Справочно!$E31,РПЗ!$O:$O,ПП!$Y$14)</f>
        <v>#REF!</v>
      </c>
      <c r="Z54" s="445" t="e">
        <f>SUMIFS(РПЗ!$L:$L,РПЗ!#REF!,Справочно!$E31,РПЗ!$O:$O,ПП!$Y$14)</f>
        <v>#REF!</v>
      </c>
      <c r="AA54" s="180" t="e">
        <f>COUNTIFS(РПЗ!#REF!,Справочно!$E31,РПЗ!$O:$O,ПП!$AA$14)</f>
        <v>#REF!</v>
      </c>
      <c r="AB54" s="446" t="e">
        <f>SUMIFS(РПЗ!$L:$L,РПЗ!#REF!,Справочно!$E31,РПЗ!$O:$O,ПП!$AA$14)</f>
        <v>#REF!</v>
      </c>
      <c r="AC54" s="234" t="e">
        <f t="shared" si="45"/>
        <v>#REF!</v>
      </c>
      <c r="AD54" s="402" t="e">
        <f t="shared" si="46"/>
        <v>#REF!</v>
      </c>
      <c r="AE54" s="241" t="e">
        <f>COUNTIFS(РПЗ!#REF!,Справочно!$E31,РПЗ!$O:$O,ПП!$AE$14)</f>
        <v>#REF!</v>
      </c>
      <c r="AF54" s="447" t="e">
        <f>SUMIFS(РПЗ!$L:$L,РПЗ!#REF!,Справочно!$E31,РПЗ!$O:$O,ПП!$AE$14)</f>
        <v>#REF!</v>
      </c>
      <c r="AG54" s="217" t="e">
        <f>COUNTIFS(РПЗ!#REF!,Справочно!$E31,РПЗ!$O:$O,ПП!$AG$14)</f>
        <v>#REF!</v>
      </c>
      <c r="AH54" s="447" t="e">
        <f>SUMIFS(РПЗ!$L:$L,РПЗ!#REF!,Справочно!$E31,РПЗ!$O:$O,ПП!$AG$14)</f>
        <v>#REF!</v>
      </c>
      <c r="AI54" s="217" t="e">
        <f>COUNTIFS(РПЗ!#REF!,Справочно!$E31,РПЗ!$O:$O,ПП!$AI$14)</f>
        <v>#REF!</v>
      </c>
      <c r="AJ54" s="448" t="e">
        <f>SUMIFS(РПЗ!$L:$L,РПЗ!#REF!,Справочно!$E31,РПЗ!$O:$O,ПП!$AI$14)</f>
        <v>#REF!</v>
      </c>
      <c r="AK54" s="238" t="e">
        <f t="shared" si="47"/>
        <v>#REF!</v>
      </c>
      <c r="AL54" s="405" t="e">
        <f t="shared" si="48"/>
        <v>#REF!</v>
      </c>
    </row>
    <row r="55" spans="1:38" ht="13.5" thickBot="1" x14ac:dyDescent="0.25">
      <c r="A55" s="93" t="str">
        <f>Справочно!E32</f>
        <v>ООО "РТ-Экспо"</v>
      </c>
      <c r="B55" s="72" t="e">
        <f>COUNTIF(РПЗ!#REF!,Справочно!$E32)</f>
        <v>#REF!</v>
      </c>
      <c r="C55" s="427" t="e">
        <f t="shared" si="39"/>
        <v>#REF!</v>
      </c>
      <c r="D55" s="428" t="e">
        <f>SUMIF(РПЗ!#REF!,Справочно!$E32,РПЗ!$L:$L)</f>
        <v>#REF!</v>
      </c>
      <c r="E55" s="427" t="e">
        <f t="shared" si="40"/>
        <v>#REF!</v>
      </c>
      <c r="G55" s="183" t="e">
        <f>COUNTIFS(РПЗ!#REF!,Справочно!$E32,РПЗ!$O:$O,ПП!$G$14)</f>
        <v>#REF!</v>
      </c>
      <c r="H55" s="406" t="e">
        <f>SUMIFS(РПЗ!$L:$L,РПЗ!#REF!,Справочно!$E32,РПЗ!$O:$O,ПП!$G$14)</f>
        <v>#REF!</v>
      </c>
      <c r="I55" s="184" t="e">
        <f>COUNTIFS(РПЗ!#REF!,Справочно!$E32,РПЗ!$O:$O,ПП!$I$14)</f>
        <v>#REF!</v>
      </c>
      <c r="J55" s="406" t="e">
        <f>SUMIFS(РПЗ!$L:$L,РПЗ!#REF!,Справочно!$E32,РПЗ!$O:$O,ПП!$I$14)</f>
        <v>#REF!</v>
      </c>
      <c r="K55" s="184" t="e">
        <f>COUNTIFS(РПЗ!#REF!,Справочно!$E32,РПЗ!$O:$O,ПП!$K$14)</f>
        <v>#REF!</v>
      </c>
      <c r="L55" s="442" t="e">
        <f>SUMIFS(РПЗ!$L:$L,РПЗ!#REF!,Справочно!$E32,РПЗ!$O:$O,ПП!$K$14)</f>
        <v>#REF!</v>
      </c>
      <c r="M55" s="229" t="e">
        <f t="shared" si="41"/>
        <v>#REF!</v>
      </c>
      <c r="N55" s="396" t="e">
        <f t="shared" si="42"/>
        <v>#REF!</v>
      </c>
      <c r="O55" s="231" t="e">
        <f>COUNTIFS(РПЗ!#REF!,Справочно!$E32,РПЗ!$O:$O,ПП!$O$14)</f>
        <v>#REF!</v>
      </c>
      <c r="P55" s="443" t="e">
        <f>SUMIFS(РПЗ!$L:$L,РПЗ!#REF!,Справочно!$E32,РПЗ!$O:$O,ПП!$O$14)</f>
        <v>#REF!</v>
      </c>
      <c r="Q55" s="223" t="e">
        <f>COUNTIFS(РПЗ!#REF!,Справочно!$E32,РПЗ!$O:$O,ПП!$Q$14)</f>
        <v>#REF!</v>
      </c>
      <c r="R55" s="443" t="e">
        <f>SUMIFS(РПЗ!$L:$L,РПЗ!#REF!,Справочно!$E32,РПЗ!$O:$O,ПП!$Q$14)</f>
        <v>#REF!</v>
      </c>
      <c r="S55" s="223" t="e">
        <f>COUNTIFS(РПЗ!#REF!,Справочно!$E32,РПЗ!$O:$O,ПП!$S$14)</f>
        <v>#REF!</v>
      </c>
      <c r="T55" s="444" t="e">
        <f>SUMIFS(РПЗ!$L:$L,РПЗ!#REF!,Справочно!$E32,РПЗ!$O:$O,ПП!$S$14)</f>
        <v>#REF!</v>
      </c>
      <c r="U55" s="233" t="e">
        <f t="shared" si="43"/>
        <v>#REF!</v>
      </c>
      <c r="V55" s="399" t="e">
        <f t="shared" si="44"/>
        <v>#REF!</v>
      </c>
      <c r="W55" s="236" t="e">
        <f>COUNTIFS(РПЗ!#REF!,Справочно!$E32,РПЗ!$O:$O,ПП!$W$14)</f>
        <v>#REF!</v>
      </c>
      <c r="X55" s="445" t="e">
        <f>SUMIFS(РПЗ!$L:$L,РПЗ!#REF!,Справочно!$E32,РПЗ!$O:$O,ПП!$W$14)</f>
        <v>#REF!</v>
      </c>
      <c r="Y55" s="180" t="e">
        <f>COUNTIFS(РПЗ!#REF!,Справочно!$E32,РПЗ!$O:$O,ПП!$Y$14)</f>
        <v>#REF!</v>
      </c>
      <c r="Z55" s="445" t="e">
        <f>SUMIFS(РПЗ!$L:$L,РПЗ!#REF!,Справочно!$E32,РПЗ!$O:$O,ПП!$Y$14)</f>
        <v>#REF!</v>
      </c>
      <c r="AA55" s="180" t="e">
        <f>COUNTIFS(РПЗ!#REF!,Справочно!$E32,РПЗ!$O:$O,ПП!$AA$14)</f>
        <v>#REF!</v>
      </c>
      <c r="AB55" s="446" t="e">
        <f>SUMIFS(РПЗ!$L:$L,РПЗ!#REF!,Справочно!$E32,РПЗ!$O:$O,ПП!$AA$14)</f>
        <v>#REF!</v>
      </c>
      <c r="AC55" s="234" t="e">
        <f t="shared" si="45"/>
        <v>#REF!</v>
      </c>
      <c r="AD55" s="402" t="e">
        <f t="shared" si="46"/>
        <v>#REF!</v>
      </c>
      <c r="AE55" s="241" t="e">
        <f>COUNTIFS(РПЗ!#REF!,Справочно!$E32,РПЗ!$O:$O,ПП!$AE$14)</f>
        <v>#REF!</v>
      </c>
      <c r="AF55" s="447" t="e">
        <f>SUMIFS(РПЗ!$L:$L,РПЗ!#REF!,Справочно!$E32,РПЗ!$O:$O,ПП!$AE$14)</f>
        <v>#REF!</v>
      </c>
      <c r="AG55" s="217" t="e">
        <f>COUNTIFS(РПЗ!#REF!,Справочно!$E32,РПЗ!$O:$O,ПП!$AG$14)</f>
        <v>#REF!</v>
      </c>
      <c r="AH55" s="447" t="e">
        <f>SUMIFS(РПЗ!$L:$L,РПЗ!#REF!,Справочно!$E32,РПЗ!$O:$O,ПП!$AG$14)</f>
        <v>#REF!</v>
      </c>
      <c r="AI55" s="217" t="e">
        <f>COUNTIFS(РПЗ!#REF!,Справочно!$E32,РПЗ!$O:$O,ПП!$AI$14)</f>
        <v>#REF!</v>
      </c>
      <c r="AJ55" s="448" t="e">
        <f>SUMIFS(РПЗ!$L:$L,РПЗ!#REF!,Справочно!$E32,РПЗ!$O:$O,ПП!$AI$14)</f>
        <v>#REF!</v>
      </c>
      <c r="AK55" s="238" t="e">
        <f t="shared" si="47"/>
        <v>#REF!</v>
      </c>
      <c r="AL55" s="405" t="e">
        <f t="shared" si="48"/>
        <v>#REF!</v>
      </c>
    </row>
    <row r="56" spans="1:38" ht="13.5" thickBot="1" x14ac:dyDescent="0.25">
      <c r="A56" s="93" t="str">
        <f>Справочно!E33</f>
        <v>ООО "РТ-Страхование"</v>
      </c>
      <c r="B56" s="72" t="e">
        <f>COUNTIF(РПЗ!#REF!,Справочно!$E33)</f>
        <v>#REF!</v>
      </c>
      <c r="C56" s="427" t="e">
        <f t="shared" si="39"/>
        <v>#REF!</v>
      </c>
      <c r="D56" s="428" t="e">
        <f>SUMIF(РПЗ!#REF!,Справочно!$E33,РПЗ!$L:$L)</f>
        <v>#REF!</v>
      </c>
      <c r="E56" s="427" t="e">
        <f t="shared" si="40"/>
        <v>#REF!</v>
      </c>
      <c r="G56" s="183" t="e">
        <f>COUNTIFS(РПЗ!#REF!,Справочно!$E33,РПЗ!$O:$O,ПП!$G$14)</f>
        <v>#REF!</v>
      </c>
      <c r="H56" s="406" t="e">
        <f>SUMIFS(РПЗ!$L:$L,РПЗ!#REF!,Справочно!$E33,РПЗ!$O:$O,ПП!$G$14)</f>
        <v>#REF!</v>
      </c>
      <c r="I56" s="184" t="e">
        <f>COUNTIFS(РПЗ!#REF!,Справочно!$E33,РПЗ!$O:$O,ПП!$I$14)</f>
        <v>#REF!</v>
      </c>
      <c r="J56" s="406" t="e">
        <f>SUMIFS(РПЗ!$L:$L,РПЗ!#REF!,Справочно!$E33,РПЗ!$O:$O,ПП!$I$14)</f>
        <v>#REF!</v>
      </c>
      <c r="K56" s="184" t="e">
        <f>COUNTIFS(РПЗ!#REF!,Справочно!$E33,РПЗ!$O:$O,ПП!$K$14)</f>
        <v>#REF!</v>
      </c>
      <c r="L56" s="442" t="e">
        <f>SUMIFS(РПЗ!$L:$L,РПЗ!#REF!,Справочно!$E33,РПЗ!$O:$O,ПП!$K$14)</f>
        <v>#REF!</v>
      </c>
      <c r="M56" s="229" t="e">
        <f t="shared" si="41"/>
        <v>#REF!</v>
      </c>
      <c r="N56" s="396" t="e">
        <f t="shared" si="42"/>
        <v>#REF!</v>
      </c>
      <c r="O56" s="231" t="e">
        <f>COUNTIFS(РПЗ!#REF!,Справочно!$E33,РПЗ!$O:$O,ПП!$O$14)</f>
        <v>#REF!</v>
      </c>
      <c r="P56" s="443" t="e">
        <f>SUMIFS(РПЗ!$L:$L,РПЗ!#REF!,Справочно!$E33,РПЗ!$O:$O,ПП!$O$14)</f>
        <v>#REF!</v>
      </c>
      <c r="Q56" s="223" t="e">
        <f>COUNTIFS(РПЗ!#REF!,Справочно!$E33,РПЗ!$O:$O,ПП!$Q$14)</f>
        <v>#REF!</v>
      </c>
      <c r="R56" s="443" t="e">
        <f>SUMIFS(РПЗ!$L:$L,РПЗ!#REF!,Справочно!$E33,РПЗ!$O:$O,ПП!$Q$14)</f>
        <v>#REF!</v>
      </c>
      <c r="S56" s="223" t="e">
        <f>COUNTIFS(РПЗ!#REF!,Справочно!$E33,РПЗ!$O:$O,ПП!$S$14)</f>
        <v>#REF!</v>
      </c>
      <c r="T56" s="444" t="e">
        <f>SUMIFS(РПЗ!$L:$L,РПЗ!#REF!,Справочно!$E33,РПЗ!$O:$O,ПП!$S$14)</f>
        <v>#REF!</v>
      </c>
      <c r="U56" s="233" t="e">
        <f t="shared" si="43"/>
        <v>#REF!</v>
      </c>
      <c r="V56" s="399" t="e">
        <f t="shared" ref="V56:V68" si="49">SUM(P56,R56,T56)</f>
        <v>#REF!</v>
      </c>
      <c r="W56" s="236" t="e">
        <f>COUNTIFS(РПЗ!#REF!,Справочно!$E33,РПЗ!$O:$O,ПП!$W$14)</f>
        <v>#REF!</v>
      </c>
      <c r="X56" s="445" t="e">
        <f>SUMIFS(РПЗ!$L:$L,РПЗ!#REF!,Справочно!$E33,РПЗ!$O:$O,ПП!$W$14)</f>
        <v>#REF!</v>
      </c>
      <c r="Y56" s="180" t="e">
        <f>COUNTIFS(РПЗ!#REF!,Справочно!$E33,РПЗ!$O:$O,ПП!$Y$14)</f>
        <v>#REF!</v>
      </c>
      <c r="Z56" s="445" t="e">
        <f>SUMIFS(РПЗ!$L:$L,РПЗ!#REF!,Справочно!$E33,РПЗ!$O:$O,ПП!$Y$14)</f>
        <v>#REF!</v>
      </c>
      <c r="AA56" s="180" t="e">
        <f>COUNTIFS(РПЗ!#REF!,Справочно!$E33,РПЗ!$O:$O,ПП!$AA$14)</f>
        <v>#REF!</v>
      </c>
      <c r="AB56" s="446" t="e">
        <f>SUMIFS(РПЗ!$L:$L,РПЗ!#REF!,Справочно!$E33,РПЗ!$O:$O,ПП!$AA$14)</f>
        <v>#REF!</v>
      </c>
      <c r="AC56" s="234" t="e">
        <f t="shared" si="45"/>
        <v>#REF!</v>
      </c>
      <c r="AD56" s="402" t="e">
        <f t="shared" si="46"/>
        <v>#REF!</v>
      </c>
      <c r="AE56" s="241" t="e">
        <f>COUNTIFS(РПЗ!#REF!,Справочно!$E33,РПЗ!$O:$O,ПП!$AE$14)</f>
        <v>#REF!</v>
      </c>
      <c r="AF56" s="447" t="e">
        <f>SUMIFS(РПЗ!$L:$L,РПЗ!#REF!,Справочно!$E33,РПЗ!$O:$O,ПП!$AE$14)</f>
        <v>#REF!</v>
      </c>
      <c r="AG56" s="217" t="e">
        <f>COUNTIFS(РПЗ!#REF!,Справочно!$E33,РПЗ!$O:$O,ПП!$AG$14)</f>
        <v>#REF!</v>
      </c>
      <c r="AH56" s="447" t="e">
        <f>SUMIFS(РПЗ!$L:$L,РПЗ!#REF!,Справочно!$E33,РПЗ!$O:$O,ПП!$AG$14)</f>
        <v>#REF!</v>
      </c>
      <c r="AI56" s="217" t="e">
        <f>COUNTIFS(РПЗ!#REF!,Справочно!$E33,РПЗ!$O:$O,ПП!$AI$14)</f>
        <v>#REF!</v>
      </c>
      <c r="AJ56" s="448" t="e">
        <f>SUMIFS(РПЗ!$L:$L,РПЗ!#REF!,Справочно!$E33,РПЗ!$O:$O,ПП!$AI$14)</f>
        <v>#REF!</v>
      </c>
      <c r="AK56" s="238" t="e">
        <f t="shared" si="47"/>
        <v>#REF!</v>
      </c>
      <c r="AL56" s="405" t="e">
        <f t="shared" si="48"/>
        <v>#REF!</v>
      </c>
    </row>
    <row r="57" spans="1:38" ht="26.25" thickBot="1" x14ac:dyDescent="0.25">
      <c r="A57" s="93" t="str">
        <f>Справочно!E34</f>
        <v>АО "Концерн Радиоэлектронные технологии"</v>
      </c>
      <c r="B57" s="72" t="e">
        <f>COUNTIF(РПЗ!#REF!,Справочно!$E34)</f>
        <v>#REF!</v>
      </c>
      <c r="C57" s="427" t="e">
        <f t="shared" si="39"/>
        <v>#REF!</v>
      </c>
      <c r="D57" s="428" t="e">
        <f>SUMIF(РПЗ!#REF!,Справочно!$E34,РПЗ!$L:$L)</f>
        <v>#REF!</v>
      </c>
      <c r="E57" s="427" t="e">
        <f t="shared" si="40"/>
        <v>#REF!</v>
      </c>
      <c r="G57" s="183" t="e">
        <f>COUNTIFS(РПЗ!#REF!,Справочно!$E34,РПЗ!$O:$O,ПП!$G$14)</f>
        <v>#REF!</v>
      </c>
      <c r="H57" s="406" t="e">
        <f>SUMIFS(РПЗ!$L:$L,РПЗ!#REF!,Справочно!$E34,РПЗ!$O:$O,ПП!$G$14)</f>
        <v>#REF!</v>
      </c>
      <c r="I57" s="184" t="e">
        <f>COUNTIFS(РПЗ!#REF!,Справочно!$E34,РПЗ!$O:$O,ПП!$I$14)</f>
        <v>#REF!</v>
      </c>
      <c r="J57" s="406" t="e">
        <f>SUMIFS(РПЗ!$L:$L,РПЗ!#REF!,Справочно!$E34,РПЗ!$O:$O,ПП!$I$14)</f>
        <v>#REF!</v>
      </c>
      <c r="K57" s="184" t="e">
        <f>COUNTIFS(РПЗ!#REF!,Справочно!$E34,РПЗ!$O:$O,ПП!$K$14)</f>
        <v>#REF!</v>
      </c>
      <c r="L57" s="442" t="e">
        <f>SUMIFS(РПЗ!$L:$L,РПЗ!#REF!,Справочно!$E34,РПЗ!$O:$O,ПП!$K$14)</f>
        <v>#REF!</v>
      </c>
      <c r="M57" s="229" t="e">
        <f t="shared" si="41"/>
        <v>#REF!</v>
      </c>
      <c r="N57" s="396" t="e">
        <f t="shared" si="42"/>
        <v>#REF!</v>
      </c>
      <c r="O57" s="231" t="e">
        <f>COUNTIFS(РПЗ!#REF!,Справочно!$E34,РПЗ!$O:$O,ПП!$O$14)</f>
        <v>#REF!</v>
      </c>
      <c r="P57" s="443" t="e">
        <f>SUMIFS(РПЗ!$L:$L,РПЗ!#REF!,Справочно!$E34,РПЗ!$O:$O,ПП!$O$14)</f>
        <v>#REF!</v>
      </c>
      <c r="Q57" s="223" t="e">
        <f>COUNTIFS(РПЗ!#REF!,Справочно!$E34,РПЗ!$O:$O,ПП!$Q$14)</f>
        <v>#REF!</v>
      </c>
      <c r="R57" s="443" t="e">
        <f>SUMIFS(РПЗ!$L:$L,РПЗ!#REF!,Справочно!$E34,РПЗ!$O:$O,ПП!$Q$14)</f>
        <v>#REF!</v>
      </c>
      <c r="S57" s="223" t="e">
        <f>COUNTIFS(РПЗ!#REF!,Справочно!$E34,РПЗ!$O:$O,ПП!$S$14)</f>
        <v>#REF!</v>
      </c>
      <c r="T57" s="444" t="e">
        <f>SUMIFS(РПЗ!$L:$L,РПЗ!#REF!,Справочно!$E34,РПЗ!$O:$O,ПП!$S$14)</f>
        <v>#REF!</v>
      </c>
      <c r="U57" s="233" t="e">
        <f t="shared" si="43"/>
        <v>#REF!</v>
      </c>
      <c r="V57" s="399" t="e">
        <f t="shared" si="49"/>
        <v>#REF!</v>
      </c>
      <c r="W57" s="236" t="e">
        <f>COUNTIFS(РПЗ!#REF!,Справочно!$E34,РПЗ!$O:$O,ПП!$W$14)</f>
        <v>#REF!</v>
      </c>
      <c r="X57" s="445" t="e">
        <f>SUMIFS(РПЗ!$L:$L,РПЗ!#REF!,Справочно!$E34,РПЗ!$O:$O,ПП!$W$14)</f>
        <v>#REF!</v>
      </c>
      <c r="Y57" s="180" t="e">
        <f>COUNTIFS(РПЗ!#REF!,Справочно!$E34,РПЗ!$O:$O,ПП!$Y$14)</f>
        <v>#REF!</v>
      </c>
      <c r="Z57" s="445" t="e">
        <f>SUMIFS(РПЗ!$L:$L,РПЗ!#REF!,Справочно!$E34,РПЗ!$O:$O,ПП!$Y$14)</f>
        <v>#REF!</v>
      </c>
      <c r="AA57" s="180" t="e">
        <f>COUNTIFS(РПЗ!#REF!,Справочно!$E34,РПЗ!$O:$O,ПП!$AA$14)</f>
        <v>#REF!</v>
      </c>
      <c r="AB57" s="446" t="e">
        <f>SUMIFS(РПЗ!$L:$L,РПЗ!#REF!,Справочно!$E34,РПЗ!$O:$O,ПП!$AA$14)</f>
        <v>#REF!</v>
      </c>
      <c r="AC57" s="234" t="e">
        <f t="shared" si="45"/>
        <v>#REF!</v>
      </c>
      <c r="AD57" s="402" t="e">
        <f t="shared" si="46"/>
        <v>#REF!</v>
      </c>
      <c r="AE57" s="241" t="e">
        <f>COUNTIFS(РПЗ!#REF!,Справочно!$E34,РПЗ!$O:$O,ПП!$AE$14)</f>
        <v>#REF!</v>
      </c>
      <c r="AF57" s="447" t="e">
        <f>SUMIFS(РПЗ!$L:$L,РПЗ!#REF!,Справочно!$E34,РПЗ!$O:$O,ПП!$AE$14)</f>
        <v>#REF!</v>
      </c>
      <c r="AG57" s="217" t="e">
        <f>COUNTIFS(РПЗ!#REF!,Справочно!$E34,РПЗ!$O:$O,ПП!$AG$14)</f>
        <v>#REF!</v>
      </c>
      <c r="AH57" s="447" t="e">
        <f>SUMIFS(РПЗ!$L:$L,РПЗ!#REF!,Справочно!$E34,РПЗ!$O:$O,ПП!$AG$14)</f>
        <v>#REF!</v>
      </c>
      <c r="AI57" s="217" t="e">
        <f>COUNTIFS(РПЗ!#REF!,Справочно!$E34,РПЗ!$O:$O,ПП!$AI$14)</f>
        <v>#REF!</v>
      </c>
      <c r="AJ57" s="448" t="e">
        <f>SUMIFS(РПЗ!$L:$L,РПЗ!#REF!,Справочно!$E34,РПЗ!$O:$O,ПП!$AI$14)</f>
        <v>#REF!</v>
      </c>
      <c r="AK57" s="238" t="e">
        <f t="shared" si="47"/>
        <v>#REF!</v>
      </c>
      <c r="AL57" s="405" t="e">
        <f t="shared" si="48"/>
        <v>#REF!</v>
      </c>
    </row>
    <row r="58" spans="1:38" ht="26.25" thickBot="1" x14ac:dyDescent="0.25">
      <c r="A58" s="93" t="str">
        <f>Справочно!E35</f>
        <v>АО "НПК "Технологии машиностроения"</v>
      </c>
      <c r="B58" s="72" t="e">
        <f>COUNTIF(РПЗ!#REF!,Справочно!$E35)</f>
        <v>#REF!</v>
      </c>
      <c r="C58" s="427" t="e">
        <f t="shared" si="39"/>
        <v>#REF!</v>
      </c>
      <c r="D58" s="428" t="e">
        <f>SUMIF(РПЗ!#REF!,Справочно!$E35,РПЗ!$L:$L)</f>
        <v>#REF!</v>
      </c>
      <c r="E58" s="427" t="e">
        <f t="shared" si="40"/>
        <v>#REF!</v>
      </c>
      <c r="G58" s="183" t="e">
        <f>COUNTIFS(РПЗ!#REF!,Справочно!$E35,РПЗ!$O:$O,ПП!$G$14)</f>
        <v>#REF!</v>
      </c>
      <c r="H58" s="406" t="e">
        <f>SUMIFS(РПЗ!$L:$L,РПЗ!#REF!,Справочно!$E35,РПЗ!$O:$O,ПП!$G$14)</f>
        <v>#REF!</v>
      </c>
      <c r="I58" s="184" t="e">
        <f>COUNTIFS(РПЗ!#REF!,Справочно!$E35,РПЗ!$O:$O,ПП!$I$14)</f>
        <v>#REF!</v>
      </c>
      <c r="J58" s="406" t="e">
        <f>SUMIFS(РПЗ!$L:$L,РПЗ!#REF!,Справочно!$E35,РПЗ!$O:$O,ПП!$I$14)</f>
        <v>#REF!</v>
      </c>
      <c r="K58" s="184" t="e">
        <f>COUNTIFS(РПЗ!#REF!,Справочно!$E35,РПЗ!$O:$O,ПП!$K$14)</f>
        <v>#REF!</v>
      </c>
      <c r="L58" s="442" t="e">
        <f>SUMIFS(РПЗ!$L:$L,РПЗ!#REF!,Справочно!$E35,РПЗ!$O:$O,ПП!$K$14)</f>
        <v>#REF!</v>
      </c>
      <c r="M58" s="229" t="e">
        <f t="shared" si="41"/>
        <v>#REF!</v>
      </c>
      <c r="N58" s="396" t="e">
        <f t="shared" si="42"/>
        <v>#REF!</v>
      </c>
      <c r="O58" s="231" t="e">
        <f>COUNTIFS(РПЗ!#REF!,Справочно!$E35,РПЗ!$O:$O,ПП!$O$14)</f>
        <v>#REF!</v>
      </c>
      <c r="P58" s="443" t="e">
        <f>SUMIFS(РПЗ!$L:$L,РПЗ!#REF!,Справочно!$E35,РПЗ!$O:$O,ПП!$O$14)</f>
        <v>#REF!</v>
      </c>
      <c r="Q58" s="223" t="e">
        <f>COUNTIFS(РПЗ!#REF!,Справочно!$E35,РПЗ!$O:$O,ПП!$Q$14)</f>
        <v>#REF!</v>
      </c>
      <c r="R58" s="443" t="e">
        <f>SUMIFS(РПЗ!$L:$L,РПЗ!#REF!,Справочно!$E35,РПЗ!$O:$O,ПП!$Q$14)</f>
        <v>#REF!</v>
      </c>
      <c r="S58" s="223" t="e">
        <f>COUNTIFS(РПЗ!#REF!,Справочно!$E35,РПЗ!$O:$O,ПП!$S$14)</f>
        <v>#REF!</v>
      </c>
      <c r="T58" s="444" t="e">
        <f>SUMIFS(РПЗ!$L:$L,РПЗ!#REF!,Справочно!$E35,РПЗ!$O:$O,ПП!$S$14)</f>
        <v>#REF!</v>
      </c>
      <c r="U58" s="233" t="e">
        <f t="shared" si="43"/>
        <v>#REF!</v>
      </c>
      <c r="V58" s="399" t="e">
        <f t="shared" si="49"/>
        <v>#REF!</v>
      </c>
      <c r="W58" s="236" t="e">
        <f>COUNTIFS(РПЗ!#REF!,Справочно!$E35,РПЗ!$O:$O,ПП!$W$14)</f>
        <v>#REF!</v>
      </c>
      <c r="X58" s="445" t="e">
        <f>SUMIFS(РПЗ!$L:$L,РПЗ!#REF!,Справочно!$E35,РПЗ!$O:$O,ПП!$W$14)</f>
        <v>#REF!</v>
      </c>
      <c r="Y58" s="180" t="e">
        <f>COUNTIFS(РПЗ!#REF!,Справочно!$E35,РПЗ!$O:$O,ПП!$Y$14)</f>
        <v>#REF!</v>
      </c>
      <c r="Z58" s="445" t="e">
        <f>SUMIFS(РПЗ!$L:$L,РПЗ!#REF!,Справочно!$E35,РПЗ!$O:$O,ПП!$Y$14)</f>
        <v>#REF!</v>
      </c>
      <c r="AA58" s="180" t="e">
        <f>COUNTIFS(РПЗ!#REF!,Справочно!$E35,РПЗ!$O:$O,ПП!$AA$14)</f>
        <v>#REF!</v>
      </c>
      <c r="AB58" s="446" t="e">
        <f>SUMIFS(РПЗ!$L:$L,РПЗ!#REF!,Справочно!$E35,РПЗ!$O:$O,ПП!$AA$14)</f>
        <v>#REF!</v>
      </c>
      <c r="AC58" s="234" t="e">
        <f t="shared" si="45"/>
        <v>#REF!</v>
      </c>
      <c r="AD58" s="402" t="e">
        <f t="shared" si="46"/>
        <v>#REF!</v>
      </c>
      <c r="AE58" s="241" t="e">
        <f>COUNTIFS(РПЗ!#REF!,Справочно!$E35,РПЗ!$O:$O,ПП!$AE$14)</f>
        <v>#REF!</v>
      </c>
      <c r="AF58" s="447" t="e">
        <f>SUMIFS(РПЗ!$L:$L,РПЗ!#REF!,Справочно!$E35,РПЗ!$O:$O,ПП!$AE$14)</f>
        <v>#REF!</v>
      </c>
      <c r="AG58" s="217" t="e">
        <f>COUNTIFS(РПЗ!#REF!,Справочно!$E35,РПЗ!$O:$O,ПП!$AG$14)</f>
        <v>#REF!</v>
      </c>
      <c r="AH58" s="447" t="e">
        <f>SUMIFS(РПЗ!$L:$L,РПЗ!#REF!,Справочно!$E35,РПЗ!$O:$O,ПП!$AG$14)</f>
        <v>#REF!</v>
      </c>
      <c r="AI58" s="217" t="e">
        <f>COUNTIFS(РПЗ!#REF!,Справочно!$E35,РПЗ!$O:$O,ПП!$AI$14)</f>
        <v>#REF!</v>
      </c>
      <c r="AJ58" s="448" t="e">
        <f>SUMIFS(РПЗ!$L:$L,РПЗ!#REF!,Справочно!$E35,РПЗ!$O:$O,ПП!$AI$14)</f>
        <v>#REF!</v>
      </c>
      <c r="AK58" s="238" t="e">
        <f t="shared" si="47"/>
        <v>#REF!</v>
      </c>
      <c r="AL58" s="405" t="e">
        <f t="shared" si="48"/>
        <v>#REF!</v>
      </c>
    </row>
    <row r="59" spans="1:38" ht="12.75" customHeight="1" thickBot="1" x14ac:dyDescent="0.25">
      <c r="A59" s="93" t="str">
        <f>Справочно!E36</f>
        <v>АО "НПО "Высокоточные комплексы"</v>
      </c>
      <c r="B59" s="72" t="e">
        <f>COUNTIF(РПЗ!#REF!,Справочно!$E36)</f>
        <v>#REF!</v>
      </c>
      <c r="C59" s="427" t="e">
        <f t="shared" si="39"/>
        <v>#REF!</v>
      </c>
      <c r="D59" s="428" t="e">
        <f>SUMIF(РПЗ!#REF!,Справочно!$E36,РПЗ!$L:$L)</f>
        <v>#REF!</v>
      </c>
      <c r="E59" s="427" t="e">
        <f t="shared" si="40"/>
        <v>#REF!</v>
      </c>
      <c r="G59" s="183" t="e">
        <f>COUNTIFS(РПЗ!#REF!,Справочно!$E36,РПЗ!$O:$O,ПП!$G$14)</f>
        <v>#REF!</v>
      </c>
      <c r="H59" s="406" t="e">
        <f>SUMIFS(РПЗ!$L:$L,РПЗ!#REF!,Справочно!$E36,РПЗ!$O:$O,ПП!$G$14)</f>
        <v>#REF!</v>
      </c>
      <c r="I59" s="184" t="e">
        <f>COUNTIFS(РПЗ!#REF!,Справочно!$E36,РПЗ!$O:$O,ПП!$I$14)</f>
        <v>#REF!</v>
      </c>
      <c r="J59" s="406" t="e">
        <f>SUMIFS(РПЗ!$L:$L,РПЗ!#REF!,Справочно!$E36,РПЗ!$O:$O,ПП!$I$14)</f>
        <v>#REF!</v>
      </c>
      <c r="K59" s="184" t="e">
        <f>COUNTIFS(РПЗ!#REF!,Справочно!$E36,РПЗ!$O:$O,ПП!$K$14)</f>
        <v>#REF!</v>
      </c>
      <c r="L59" s="442" t="e">
        <f>SUMIFS(РПЗ!$L:$L,РПЗ!#REF!,Справочно!$E36,РПЗ!$O:$O,ПП!$K$14)</f>
        <v>#REF!</v>
      </c>
      <c r="M59" s="229" t="e">
        <f t="shared" si="41"/>
        <v>#REF!</v>
      </c>
      <c r="N59" s="396" t="e">
        <f t="shared" si="42"/>
        <v>#REF!</v>
      </c>
      <c r="O59" s="231" t="e">
        <f>COUNTIFS(РПЗ!#REF!,Справочно!$E36,РПЗ!$O:$O,ПП!$O$14)</f>
        <v>#REF!</v>
      </c>
      <c r="P59" s="443" t="e">
        <f>SUMIFS(РПЗ!$L:$L,РПЗ!#REF!,Справочно!$E36,РПЗ!$O:$O,ПП!$O$14)</f>
        <v>#REF!</v>
      </c>
      <c r="Q59" s="223" t="e">
        <f>COUNTIFS(РПЗ!#REF!,Справочно!$E36,РПЗ!$O:$O,ПП!$Q$14)</f>
        <v>#REF!</v>
      </c>
      <c r="R59" s="443" t="e">
        <f>SUMIFS(РПЗ!$L:$L,РПЗ!#REF!,Справочно!$E36,РПЗ!$O:$O,ПП!$Q$14)</f>
        <v>#REF!</v>
      </c>
      <c r="S59" s="223" t="e">
        <f>COUNTIFS(РПЗ!#REF!,Справочно!$E36,РПЗ!$O:$O,ПП!$S$14)</f>
        <v>#REF!</v>
      </c>
      <c r="T59" s="444" t="e">
        <f>SUMIFS(РПЗ!$L:$L,РПЗ!#REF!,Справочно!$E36,РПЗ!$O:$O,ПП!$S$14)</f>
        <v>#REF!</v>
      </c>
      <c r="U59" s="233" t="e">
        <f t="shared" si="43"/>
        <v>#REF!</v>
      </c>
      <c r="V59" s="399" t="e">
        <f t="shared" si="49"/>
        <v>#REF!</v>
      </c>
      <c r="W59" s="236" t="e">
        <f>COUNTIFS(РПЗ!#REF!,Справочно!$E36,РПЗ!$O:$O,ПП!$W$14)</f>
        <v>#REF!</v>
      </c>
      <c r="X59" s="445" t="e">
        <f>SUMIFS(РПЗ!$L:$L,РПЗ!#REF!,Справочно!$E36,РПЗ!$O:$O,ПП!$W$14)</f>
        <v>#REF!</v>
      </c>
      <c r="Y59" s="180" t="e">
        <f>COUNTIFS(РПЗ!#REF!,Справочно!$E36,РПЗ!$O:$O,ПП!$Y$14)</f>
        <v>#REF!</v>
      </c>
      <c r="Z59" s="445" t="e">
        <f>SUMIFS(РПЗ!$L:$L,РПЗ!#REF!,Справочно!$E36,РПЗ!$O:$O,ПП!$Y$14)</f>
        <v>#REF!</v>
      </c>
      <c r="AA59" s="180" t="e">
        <f>COUNTIFS(РПЗ!#REF!,Справочно!$E36,РПЗ!$O:$O,ПП!$AA$14)</f>
        <v>#REF!</v>
      </c>
      <c r="AB59" s="446" t="e">
        <f>SUMIFS(РПЗ!$L:$L,РПЗ!#REF!,Справочно!$E36,РПЗ!$O:$O,ПП!$AA$14)</f>
        <v>#REF!</v>
      </c>
      <c r="AC59" s="234" t="e">
        <f t="shared" si="45"/>
        <v>#REF!</v>
      </c>
      <c r="AD59" s="402" t="e">
        <f t="shared" si="46"/>
        <v>#REF!</v>
      </c>
      <c r="AE59" s="241" t="e">
        <f>COUNTIFS(РПЗ!#REF!,Справочно!$E36,РПЗ!$O:$O,ПП!$AE$14)</f>
        <v>#REF!</v>
      </c>
      <c r="AF59" s="447" t="e">
        <f>SUMIFS(РПЗ!$L:$L,РПЗ!#REF!,Справочно!$E36,РПЗ!$O:$O,ПП!$AE$14)</f>
        <v>#REF!</v>
      </c>
      <c r="AG59" s="217" t="e">
        <f>COUNTIFS(РПЗ!#REF!,Справочно!$E36,РПЗ!$O:$O,ПП!$AG$14)</f>
        <v>#REF!</v>
      </c>
      <c r="AH59" s="447" t="e">
        <f>SUMIFS(РПЗ!$L:$L,РПЗ!#REF!,Справочно!$E36,РПЗ!$O:$O,ПП!$AG$14)</f>
        <v>#REF!</v>
      </c>
      <c r="AI59" s="217" t="e">
        <f>COUNTIFS(РПЗ!#REF!,Справочно!$E36,РПЗ!$O:$O,ПП!$AI$14)</f>
        <v>#REF!</v>
      </c>
      <c r="AJ59" s="448" t="e">
        <f>SUMIFS(РПЗ!$L:$L,РПЗ!#REF!,Справочно!$E36,РПЗ!$O:$O,ПП!$AI$14)</f>
        <v>#REF!</v>
      </c>
      <c r="AK59" s="238" t="e">
        <f t="shared" si="47"/>
        <v>#REF!</v>
      </c>
      <c r="AL59" s="405" t="e">
        <f t="shared" si="48"/>
        <v>#REF!</v>
      </c>
    </row>
    <row r="60" spans="1:38" ht="26.25" thickBot="1" x14ac:dyDescent="0.25">
      <c r="A60" s="93" t="str">
        <f>Справочно!E37</f>
        <v>АО "Объединенная приборостроительная компания"</v>
      </c>
      <c r="B60" s="72" t="e">
        <f>COUNTIF(РПЗ!#REF!,Справочно!$E37)</f>
        <v>#REF!</v>
      </c>
      <c r="C60" s="427" t="e">
        <f t="shared" si="39"/>
        <v>#REF!</v>
      </c>
      <c r="D60" s="428" t="e">
        <f>SUMIF(РПЗ!#REF!,Справочно!$E37,РПЗ!$L:$L)</f>
        <v>#REF!</v>
      </c>
      <c r="E60" s="427" t="e">
        <f t="shared" si="40"/>
        <v>#REF!</v>
      </c>
      <c r="G60" s="183" t="e">
        <f>COUNTIFS(РПЗ!#REF!,Справочно!$E37,РПЗ!$O:$O,ПП!$G$14)</f>
        <v>#REF!</v>
      </c>
      <c r="H60" s="406" t="e">
        <f>SUMIFS(РПЗ!$L:$L,РПЗ!#REF!,Справочно!$E37,РПЗ!$O:$O,ПП!$G$14)</f>
        <v>#REF!</v>
      </c>
      <c r="I60" s="184" t="e">
        <f>COUNTIFS(РПЗ!#REF!,Справочно!$E37,РПЗ!$O:$O,ПП!$I$14)</f>
        <v>#REF!</v>
      </c>
      <c r="J60" s="406" t="e">
        <f>SUMIFS(РПЗ!$L:$L,РПЗ!#REF!,Справочно!$E37,РПЗ!$O:$O,ПП!$I$14)</f>
        <v>#REF!</v>
      </c>
      <c r="K60" s="184" t="e">
        <f>COUNTIFS(РПЗ!#REF!,Справочно!$E37,РПЗ!$O:$O,ПП!$K$14)</f>
        <v>#REF!</v>
      </c>
      <c r="L60" s="442" t="e">
        <f>SUMIFS(РПЗ!$L:$L,РПЗ!#REF!,Справочно!$E37,РПЗ!$O:$O,ПП!$K$14)</f>
        <v>#REF!</v>
      </c>
      <c r="M60" s="229" t="e">
        <f t="shared" si="41"/>
        <v>#REF!</v>
      </c>
      <c r="N60" s="396" t="e">
        <f t="shared" si="42"/>
        <v>#REF!</v>
      </c>
      <c r="O60" s="231" t="e">
        <f>COUNTIFS(РПЗ!#REF!,Справочно!$E37,РПЗ!$O:$O,ПП!$O$14)</f>
        <v>#REF!</v>
      </c>
      <c r="P60" s="443" t="e">
        <f>SUMIFS(РПЗ!$L:$L,РПЗ!#REF!,Справочно!$E37,РПЗ!$O:$O,ПП!$O$14)</f>
        <v>#REF!</v>
      </c>
      <c r="Q60" s="223" t="e">
        <f>COUNTIFS(РПЗ!#REF!,Справочно!$E37,РПЗ!$O:$O,ПП!$Q$14)</f>
        <v>#REF!</v>
      </c>
      <c r="R60" s="443" t="e">
        <f>SUMIFS(РПЗ!$L:$L,РПЗ!#REF!,Справочно!$E37,РПЗ!$O:$O,ПП!$Q$14)</f>
        <v>#REF!</v>
      </c>
      <c r="S60" s="223" t="e">
        <f>COUNTIFS(РПЗ!#REF!,Справочно!$E37,РПЗ!$O:$O,ПП!$S$14)</f>
        <v>#REF!</v>
      </c>
      <c r="T60" s="444" t="e">
        <f>SUMIFS(РПЗ!$L:$L,РПЗ!#REF!,Справочно!$E37,РПЗ!$O:$O,ПП!$S$14)</f>
        <v>#REF!</v>
      </c>
      <c r="U60" s="233" t="e">
        <f t="shared" si="43"/>
        <v>#REF!</v>
      </c>
      <c r="V60" s="399" t="e">
        <f t="shared" si="49"/>
        <v>#REF!</v>
      </c>
      <c r="W60" s="236" t="e">
        <f>COUNTIFS(РПЗ!#REF!,Справочно!$E37,РПЗ!$O:$O,ПП!$W$14)</f>
        <v>#REF!</v>
      </c>
      <c r="X60" s="445" t="e">
        <f>SUMIFS(РПЗ!$L:$L,РПЗ!#REF!,Справочно!$E37,РПЗ!$O:$O,ПП!$W$14)</f>
        <v>#REF!</v>
      </c>
      <c r="Y60" s="180" t="e">
        <f>COUNTIFS(РПЗ!#REF!,Справочно!$E37,РПЗ!$O:$O,ПП!$Y$14)</f>
        <v>#REF!</v>
      </c>
      <c r="Z60" s="445" t="e">
        <f>SUMIFS(РПЗ!$L:$L,РПЗ!#REF!,Справочно!$E37,РПЗ!$O:$O,ПП!$Y$14)</f>
        <v>#REF!</v>
      </c>
      <c r="AA60" s="180" t="e">
        <f>COUNTIFS(РПЗ!#REF!,Справочно!$E37,РПЗ!$O:$O,ПП!$AA$14)</f>
        <v>#REF!</v>
      </c>
      <c r="AB60" s="446" t="e">
        <f>SUMIFS(РПЗ!$L:$L,РПЗ!#REF!,Справочно!$E37,РПЗ!$O:$O,ПП!$AA$14)</f>
        <v>#REF!</v>
      </c>
      <c r="AC60" s="234" t="e">
        <f t="shared" si="45"/>
        <v>#REF!</v>
      </c>
      <c r="AD60" s="402" t="e">
        <f t="shared" si="46"/>
        <v>#REF!</v>
      </c>
      <c r="AE60" s="241" t="e">
        <f>COUNTIFS(РПЗ!#REF!,Справочно!$E37,РПЗ!$O:$O,ПП!$AE$14)</f>
        <v>#REF!</v>
      </c>
      <c r="AF60" s="447" t="e">
        <f>SUMIFS(РПЗ!$L:$L,РПЗ!#REF!,Справочно!$E37,РПЗ!$O:$O,ПП!$AE$14)</f>
        <v>#REF!</v>
      </c>
      <c r="AG60" s="217" t="e">
        <f>COUNTIFS(РПЗ!#REF!,Справочно!$E37,РПЗ!$O:$O,ПП!$AG$14)</f>
        <v>#REF!</v>
      </c>
      <c r="AH60" s="447" t="e">
        <f>SUMIFS(РПЗ!$L:$L,РПЗ!#REF!,Справочно!$E37,РПЗ!$O:$O,ПП!$AG$14)</f>
        <v>#REF!</v>
      </c>
      <c r="AI60" s="217" t="e">
        <f>COUNTIFS(РПЗ!#REF!,Справочно!$E37,РПЗ!$O:$O,ПП!$AI$14)</f>
        <v>#REF!</v>
      </c>
      <c r="AJ60" s="448" t="e">
        <f>SUMIFS(РПЗ!$L:$L,РПЗ!#REF!,Справочно!$E37,РПЗ!$O:$O,ПП!$AI$14)</f>
        <v>#REF!</v>
      </c>
      <c r="AK60" s="238" t="e">
        <f t="shared" si="47"/>
        <v>#REF!</v>
      </c>
      <c r="AL60" s="405" t="e">
        <f t="shared" si="48"/>
        <v>#REF!</v>
      </c>
    </row>
    <row r="61" spans="1:38" ht="13.5" thickBot="1" x14ac:dyDescent="0.25">
      <c r="A61" s="93" t="str">
        <f>Справочно!E38</f>
        <v>ОАО "Оборонпром"</v>
      </c>
      <c r="B61" s="72" t="e">
        <f>COUNTIF(РПЗ!#REF!,Справочно!$E38)</f>
        <v>#REF!</v>
      </c>
      <c r="C61" s="427" t="e">
        <f t="shared" si="39"/>
        <v>#REF!</v>
      </c>
      <c r="D61" s="428" t="e">
        <f>SUMIF(РПЗ!#REF!,Справочно!$E38,РПЗ!$L:$L)</f>
        <v>#REF!</v>
      </c>
      <c r="E61" s="427" t="e">
        <f t="shared" si="40"/>
        <v>#REF!</v>
      </c>
      <c r="G61" s="183" t="e">
        <f>COUNTIFS(РПЗ!#REF!,Справочно!$E38,РПЗ!$O:$O,ПП!$G$14)</f>
        <v>#REF!</v>
      </c>
      <c r="H61" s="406" t="e">
        <f>SUMIFS(РПЗ!$L:$L,РПЗ!#REF!,Справочно!$E38,РПЗ!$O:$O,ПП!$G$14)</f>
        <v>#REF!</v>
      </c>
      <c r="I61" s="184" t="e">
        <f>COUNTIFS(РПЗ!#REF!,Справочно!$E38,РПЗ!$O:$O,ПП!$I$14)</f>
        <v>#REF!</v>
      </c>
      <c r="J61" s="406" t="e">
        <f>SUMIFS(РПЗ!$L:$L,РПЗ!#REF!,Справочно!$E38,РПЗ!$O:$O,ПП!$I$14)</f>
        <v>#REF!</v>
      </c>
      <c r="K61" s="184" t="e">
        <f>COUNTIFS(РПЗ!#REF!,Справочно!$E38,РПЗ!$O:$O,ПП!$K$14)</f>
        <v>#REF!</v>
      </c>
      <c r="L61" s="442" t="e">
        <f>SUMIFS(РПЗ!$L:$L,РПЗ!#REF!,Справочно!$E38,РПЗ!$O:$O,ПП!$K$14)</f>
        <v>#REF!</v>
      </c>
      <c r="M61" s="229" t="e">
        <f t="shared" si="41"/>
        <v>#REF!</v>
      </c>
      <c r="N61" s="396" t="e">
        <f t="shared" si="42"/>
        <v>#REF!</v>
      </c>
      <c r="O61" s="231" t="e">
        <f>COUNTIFS(РПЗ!#REF!,Справочно!$E38,РПЗ!$O:$O,ПП!$O$14)</f>
        <v>#REF!</v>
      </c>
      <c r="P61" s="443" t="e">
        <f>SUMIFS(РПЗ!$L:$L,РПЗ!#REF!,Справочно!$E38,РПЗ!$O:$O,ПП!$O$14)</f>
        <v>#REF!</v>
      </c>
      <c r="Q61" s="223" t="e">
        <f>COUNTIFS(РПЗ!#REF!,Справочно!$E38,РПЗ!$O:$O,ПП!$Q$14)</f>
        <v>#REF!</v>
      </c>
      <c r="R61" s="443" t="e">
        <f>SUMIFS(РПЗ!$L:$L,РПЗ!#REF!,Справочно!$E38,РПЗ!$O:$O,ПП!$Q$14)</f>
        <v>#REF!</v>
      </c>
      <c r="S61" s="223" t="e">
        <f>COUNTIFS(РПЗ!#REF!,Справочно!$E38,РПЗ!$O:$O,ПП!$S$14)</f>
        <v>#REF!</v>
      </c>
      <c r="T61" s="444" t="e">
        <f>SUMIFS(РПЗ!$L:$L,РПЗ!#REF!,Справочно!$E38,РПЗ!$O:$O,ПП!$S$14)</f>
        <v>#REF!</v>
      </c>
      <c r="U61" s="233" t="e">
        <f t="shared" si="43"/>
        <v>#REF!</v>
      </c>
      <c r="V61" s="399" t="e">
        <f t="shared" si="49"/>
        <v>#REF!</v>
      </c>
      <c r="W61" s="236" t="e">
        <f>COUNTIFS(РПЗ!#REF!,Справочно!$E38,РПЗ!$O:$O,ПП!$W$14)</f>
        <v>#REF!</v>
      </c>
      <c r="X61" s="445" t="e">
        <f>SUMIFS(РПЗ!$L:$L,РПЗ!#REF!,Справочно!$E38,РПЗ!$O:$O,ПП!$W$14)</f>
        <v>#REF!</v>
      </c>
      <c r="Y61" s="180" t="e">
        <f>COUNTIFS(РПЗ!#REF!,Справочно!$E38,РПЗ!$O:$O,ПП!$Y$14)</f>
        <v>#REF!</v>
      </c>
      <c r="Z61" s="445" t="e">
        <f>SUMIFS(РПЗ!$L:$L,РПЗ!#REF!,Справочно!$E38,РПЗ!$O:$O,ПП!$Y$14)</f>
        <v>#REF!</v>
      </c>
      <c r="AA61" s="180" t="e">
        <f>COUNTIFS(РПЗ!#REF!,Справочно!$E38,РПЗ!$O:$O,ПП!$AA$14)</f>
        <v>#REF!</v>
      </c>
      <c r="AB61" s="446" t="e">
        <f>SUMIFS(РПЗ!$L:$L,РПЗ!#REF!,Справочно!$E38,РПЗ!$O:$O,ПП!$AA$14)</f>
        <v>#REF!</v>
      </c>
      <c r="AC61" s="234" t="e">
        <f t="shared" si="45"/>
        <v>#REF!</v>
      </c>
      <c r="AD61" s="402" t="e">
        <f t="shared" si="46"/>
        <v>#REF!</v>
      </c>
      <c r="AE61" s="241" t="e">
        <f>COUNTIFS(РПЗ!#REF!,Справочно!$E38,РПЗ!$O:$O,ПП!$AE$14)</f>
        <v>#REF!</v>
      </c>
      <c r="AF61" s="447" t="e">
        <f>SUMIFS(РПЗ!$L:$L,РПЗ!#REF!,Справочно!$E38,РПЗ!$O:$O,ПП!$AE$14)</f>
        <v>#REF!</v>
      </c>
      <c r="AG61" s="217" t="e">
        <f>COUNTIFS(РПЗ!#REF!,Справочно!$E38,РПЗ!$O:$O,ПП!$AG$14)</f>
        <v>#REF!</v>
      </c>
      <c r="AH61" s="447" t="e">
        <f>SUMIFS(РПЗ!$L:$L,РПЗ!#REF!,Справочно!$E38,РПЗ!$O:$O,ПП!$AG$14)</f>
        <v>#REF!</v>
      </c>
      <c r="AI61" s="217" t="e">
        <f>COUNTIFS(РПЗ!#REF!,Справочно!$E38,РПЗ!$O:$O,ПП!$AI$14)</f>
        <v>#REF!</v>
      </c>
      <c r="AJ61" s="448" t="e">
        <f>SUMIFS(РПЗ!$L:$L,РПЗ!#REF!,Справочно!$E38,РПЗ!$O:$O,ПП!$AI$14)</f>
        <v>#REF!</v>
      </c>
      <c r="AK61" s="238" t="e">
        <f t="shared" si="47"/>
        <v>#REF!</v>
      </c>
      <c r="AL61" s="405" t="e">
        <f t="shared" si="48"/>
        <v>#REF!</v>
      </c>
    </row>
    <row r="62" spans="1:38" ht="13.5" thickBot="1" x14ac:dyDescent="0.25">
      <c r="A62" s="93" t="str">
        <f>Справочно!E39</f>
        <v>АО "Российская электроника"</v>
      </c>
      <c r="B62" s="72" t="e">
        <f>COUNTIF(РПЗ!#REF!,Справочно!$E39)</f>
        <v>#REF!</v>
      </c>
      <c r="C62" s="427" t="e">
        <f t="shared" si="39"/>
        <v>#REF!</v>
      </c>
      <c r="D62" s="428" t="e">
        <f>SUMIF(РПЗ!#REF!,Справочно!$E39,РПЗ!$L:$L)</f>
        <v>#REF!</v>
      </c>
      <c r="E62" s="427" t="e">
        <f t="shared" si="40"/>
        <v>#REF!</v>
      </c>
      <c r="G62" s="183" t="e">
        <f>COUNTIFS(РПЗ!#REF!,Справочно!$E39,РПЗ!$O:$O,ПП!$G$14)</f>
        <v>#REF!</v>
      </c>
      <c r="H62" s="406" t="e">
        <f>SUMIFS(РПЗ!$L:$L,РПЗ!#REF!,Справочно!$E39,РПЗ!$O:$O,ПП!$G$14)</f>
        <v>#REF!</v>
      </c>
      <c r="I62" s="184" t="e">
        <f>COUNTIFS(РПЗ!#REF!,Справочно!$E39,РПЗ!$O:$O,ПП!$I$14)</f>
        <v>#REF!</v>
      </c>
      <c r="J62" s="406" t="e">
        <f>SUMIFS(РПЗ!$L:$L,РПЗ!#REF!,Справочно!$E39,РПЗ!$O:$O,ПП!$I$14)</f>
        <v>#REF!</v>
      </c>
      <c r="K62" s="184" t="e">
        <f>COUNTIFS(РПЗ!#REF!,Справочно!$E39,РПЗ!$O:$O,ПП!$K$14)</f>
        <v>#REF!</v>
      </c>
      <c r="L62" s="442" t="e">
        <f>SUMIFS(РПЗ!$L:$L,РПЗ!#REF!,Справочно!$E39,РПЗ!$O:$O,ПП!$K$14)</f>
        <v>#REF!</v>
      </c>
      <c r="M62" s="229" t="e">
        <f t="shared" si="41"/>
        <v>#REF!</v>
      </c>
      <c r="N62" s="396" t="e">
        <f t="shared" si="42"/>
        <v>#REF!</v>
      </c>
      <c r="O62" s="231" t="e">
        <f>COUNTIFS(РПЗ!#REF!,Справочно!$E39,РПЗ!$O:$O,ПП!$O$14)</f>
        <v>#REF!</v>
      </c>
      <c r="P62" s="443" t="e">
        <f>SUMIFS(РПЗ!$L:$L,РПЗ!#REF!,Справочно!$E39,РПЗ!$O:$O,ПП!$O$14)</f>
        <v>#REF!</v>
      </c>
      <c r="Q62" s="223" t="e">
        <f>COUNTIFS(РПЗ!#REF!,Справочно!$E39,РПЗ!$O:$O,ПП!$Q$14)</f>
        <v>#REF!</v>
      </c>
      <c r="R62" s="443" t="e">
        <f>SUMIFS(РПЗ!$L:$L,РПЗ!#REF!,Справочно!$E39,РПЗ!$O:$O,ПП!$Q$14)</f>
        <v>#REF!</v>
      </c>
      <c r="S62" s="223" t="e">
        <f>COUNTIFS(РПЗ!#REF!,Справочно!$E39,РПЗ!$O:$O,ПП!$S$14)</f>
        <v>#REF!</v>
      </c>
      <c r="T62" s="444" t="e">
        <f>SUMIFS(РПЗ!$L:$L,РПЗ!#REF!,Справочно!$E39,РПЗ!$O:$O,ПП!$S$14)</f>
        <v>#REF!</v>
      </c>
      <c r="U62" s="233" t="e">
        <f t="shared" si="43"/>
        <v>#REF!</v>
      </c>
      <c r="V62" s="399" t="e">
        <f t="shared" si="49"/>
        <v>#REF!</v>
      </c>
      <c r="W62" s="236" t="e">
        <f>COUNTIFS(РПЗ!#REF!,Справочно!$E39,РПЗ!$O:$O,ПП!$W$14)</f>
        <v>#REF!</v>
      </c>
      <c r="X62" s="445" t="e">
        <f>SUMIFS(РПЗ!$L:$L,РПЗ!#REF!,Справочно!$E39,РПЗ!$O:$O,ПП!$W$14)</f>
        <v>#REF!</v>
      </c>
      <c r="Y62" s="180" t="e">
        <f>COUNTIFS(РПЗ!#REF!,Справочно!$E39,РПЗ!$O:$O,ПП!$Y$14)</f>
        <v>#REF!</v>
      </c>
      <c r="Z62" s="445" t="e">
        <f>SUMIFS(РПЗ!$L:$L,РПЗ!#REF!,Справочно!$E39,РПЗ!$O:$O,ПП!$Y$14)</f>
        <v>#REF!</v>
      </c>
      <c r="AA62" s="180" t="e">
        <f>COUNTIFS(РПЗ!#REF!,Справочно!$E39,РПЗ!$O:$O,ПП!$AA$14)</f>
        <v>#REF!</v>
      </c>
      <c r="AB62" s="446" t="e">
        <f>SUMIFS(РПЗ!$L:$L,РПЗ!#REF!,Справочно!$E39,РПЗ!$O:$O,ПП!$AA$14)</f>
        <v>#REF!</v>
      </c>
      <c r="AC62" s="234" t="e">
        <f t="shared" si="45"/>
        <v>#REF!</v>
      </c>
      <c r="AD62" s="402" t="e">
        <f t="shared" si="46"/>
        <v>#REF!</v>
      </c>
      <c r="AE62" s="241" t="e">
        <f>COUNTIFS(РПЗ!#REF!,Справочно!$E39,РПЗ!$O:$O,ПП!$AE$14)</f>
        <v>#REF!</v>
      </c>
      <c r="AF62" s="447" t="e">
        <f>SUMIFS(РПЗ!$L:$L,РПЗ!#REF!,Справочно!$E39,РПЗ!$O:$O,ПП!$AE$14)</f>
        <v>#REF!</v>
      </c>
      <c r="AG62" s="217" t="e">
        <f>COUNTIFS(РПЗ!#REF!,Справочно!$E39,РПЗ!$O:$O,ПП!$AG$14)</f>
        <v>#REF!</v>
      </c>
      <c r="AH62" s="447" t="e">
        <f>SUMIFS(РПЗ!$L:$L,РПЗ!#REF!,Справочно!$E39,РПЗ!$O:$O,ПП!$AG$14)</f>
        <v>#REF!</v>
      </c>
      <c r="AI62" s="217" t="e">
        <f>COUNTIFS(РПЗ!#REF!,Справочно!$E39,РПЗ!$O:$O,ПП!$AI$14)</f>
        <v>#REF!</v>
      </c>
      <c r="AJ62" s="448" t="e">
        <f>SUMIFS(РПЗ!$L:$L,РПЗ!#REF!,Справочно!$E39,РПЗ!$O:$O,ПП!$AI$14)</f>
        <v>#REF!</v>
      </c>
      <c r="AK62" s="238" t="e">
        <f t="shared" si="47"/>
        <v>#REF!</v>
      </c>
      <c r="AL62" s="405" t="e">
        <f t="shared" si="48"/>
        <v>#REF!</v>
      </c>
    </row>
    <row r="63" spans="1:38" ht="13.5" thickBot="1" x14ac:dyDescent="0.25">
      <c r="A63" s="93" t="str">
        <f>Справочно!E40</f>
        <v>АО "РТ-Авто"</v>
      </c>
      <c r="B63" s="72" t="e">
        <f>COUNTIF(РПЗ!#REF!,Справочно!$E40)</f>
        <v>#REF!</v>
      </c>
      <c r="C63" s="427" t="e">
        <f t="shared" si="39"/>
        <v>#REF!</v>
      </c>
      <c r="D63" s="428" t="e">
        <f>SUMIF(РПЗ!#REF!,Справочно!$E40,РПЗ!$L:$L)</f>
        <v>#REF!</v>
      </c>
      <c r="E63" s="427" t="e">
        <f t="shared" si="40"/>
        <v>#REF!</v>
      </c>
      <c r="G63" s="183" t="e">
        <f>COUNTIFS(РПЗ!#REF!,Справочно!$E40,РПЗ!$O:$O,ПП!$G$14)</f>
        <v>#REF!</v>
      </c>
      <c r="H63" s="406" t="e">
        <f>SUMIFS(РПЗ!$L:$L,РПЗ!#REF!,Справочно!$E40,РПЗ!$O:$O,ПП!$G$14)</f>
        <v>#REF!</v>
      </c>
      <c r="I63" s="184" t="e">
        <f>COUNTIFS(РПЗ!#REF!,Справочно!$E40,РПЗ!$O:$O,ПП!$I$14)</f>
        <v>#REF!</v>
      </c>
      <c r="J63" s="406" t="e">
        <f>SUMIFS(РПЗ!$L:$L,РПЗ!#REF!,Справочно!$E40,РПЗ!$O:$O,ПП!$I$14)</f>
        <v>#REF!</v>
      </c>
      <c r="K63" s="184" t="e">
        <f>COUNTIFS(РПЗ!#REF!,Справочно!$E40,РПЗ!$O:$O,ПП!$K$14)</f>
        <v>#REF!</v>
      </c>
      <c r="L63" s="442" t="e">
        <f>SUMIFS(РПЗ!$L:$L,РПЗ!#REF!,Справочно!$E40,РПЗ!$O:$O,ПП!$K$14)</f>
        <v>#REF!</v>
      </c>
      <c r="M63" s="229" t="e">
        <f t="shared" si="41"/>
        <v>#REF!</v>
      </c>
      <c r="N63" s="396" t="e">
        <f t="shared" si="42"/>
        <v>#REF!</v>
      </c>
      <c r="O63" s="231" t="e">
        <f>COUNTIFS(РПЗ!#REF!,Справочно!$E40,РПЗ!$O:$O,ПП!$O$14)</f>
        <v>#REF!</v>
      </c>
      <c r="P63" s="443" t="e">
        <f>SUMIFS(РПЗ!$L:$L,РПЗ!#REF!,Справочно!$E40,РПЗ!$O:$O,ПП!$O$14)</f>
        <v>#REF!</v>
      </c>
      <c r="Q63" s="223" t="e">
        <f>COUNTIFS(РПЗ!#REF!,Справочно!$E40,РПЗ!$O:$O,ПП!$Q$14)</f>
        <v>#REF!</v>
      </c>
      <c r="R63" s="443" t="e">
        <f>SUMIFS(РПЗ!$L:$L,РПЗ!#REF!,Справочно!$E40,РПЗ!$O:$O,ПП!$Q$14)</f>
        <v>#REF!</v>
      </c>
      <c r="S63" s="223" t="e">
        <f>COUNTIFS(РПЗ!#REF!,Справочно!$E40,РПЗ!$O:$O,ПП!$S$14)</f>
        <v>#REF!</v>
      </c>
      <c r="T63" s="444" t="e">
        <f>SUMIFS(РПЗ!$L:$L,РПЗ!#REF!,Справочно!$E40,РПЗ!$O:$O,ПП!$S$14)</f>
        <v>#REF!</v>
      </c>
      <c r="U63" s="233" t="e">
        <f t="shared" si="43"/>
        <v>#REF!</v>
      </c>
      <c r="V63" s="399" t="e">
        <f t="shared" si="49"/>
        <v>#REF!</v>
      </c>
      <c r="W63" s="236" t="e">
        <f>COUNTIFS(РПЗ!#REF!,Справочно!$E40,РПЗ!$O:$O,ПП!$W$14)</f>
        <v>#REF!</v>
      </c>
      <c r="X63" s="445" t="e">
        <f>SUMIFS(РПЗ!$L:$L,РПЗ!#REF!,Справочно!$E40,РПЗ!$O:$O,ПП!$W$14)</f>
        <v>#REF!</v>
      </c>
      <c r="Y63" s="180" t="e">
        <f>COUNTIFS(РПЗ!#REF!,Справочно!$E40,РПЗ!$O:$O,ПП!$Y$14)</f>
        <v>#REF!</v>
      </c>
      <c r="Z63" s="445" t="e">
        <f>SUMIFS(РПЗ!$L:$L,РПЗ!#REF!,Справочно!$E40,РПЗ!$O:$O,ПП!$Y$14)</f>
        <v>#REF!</v>
      </c>
      <c r="AA63" s="180" t="e">
        <f>COUNTIFS(РПЗ!#REF!,Справочно!$E40,РПЗ!$O:$O,ПП!$AA$14)</f>
        <v>#REF!</v>
      </c>
      <c r="AB63" s="446" t="e">
        <f>SUMIFS(РПЗ!$L:$L,РПЗ!#REF!,Справочно!$E40,РПЗ!$O:$O,ПП!$AA$14)</f>
        <v>#REF!</v>
      </c>
      <c r="AC63" s="234" t="e">
        <f t="shared" si="45"/>
        <v>#REF!</v>
      </c>
      <c r="AD63" s="402" t="e">
        <f t="shared" si="46"/>
        <v>#REF!</v>
      </c>
      <c r="AE63" s="241" t="e">
        <f>COUNTIFS(РПЗ!#REF!,Справочно!$E40,РПЗ!$O:$O,ПП!$AE$14)</f>
        <v>#REF!</v>
      </c>
      <c r="AF63" s="447" t="e">
        <f>SUMIFS(РПЗ!$L:$L,РПЗ!#REF!,Справочно!$E40,РПЗ!$O:$O,ПП!$AE$14)</f>
        <v>#REF!</v>
      </c>
      <c r="AG63" s="217" t="e">
        <f>COUNTIFS(РПЗ!#REF!,Справочно!$E40,РПЗ!$O:$O,ПП!$AG$14)</f>
        <v>#REF!</v>
      </c>
      <c r="AH63" s="447" t="e">
        <f>SUMIFS(РПЗ!$L:$L,РПЗ!#REF!,Справочно!$E40,РПЗ!$O:$O,ПП!$AG$14)</f>
        <v>#REF!</v>
      </c>
      <c r="AI63" s="217" t="e">
        <f>COUNTIFS(РПЗ!#REF!,Справочно!$E40,РПЗ!$O:$O,ПП!$AI$14)</f>
        <v>#REF!</v>
      </c>
      <c r="AJ63" s="448" t="e">
        <f>SUMIFS(РПЗ!$L:$L,РПЗ!#REF!,Справочно!$E40,РПЗ!$O:$O,ПП!$AI$14)</f>
        <v>#REF!</v>
      </c>
      <c r="AK63" s="238" t="e">
        <f t="shared" si="47"/>
        <v>#REF!</v>
      </c>
      <c r="AL63" s="405" t="e">
        <f t="shared" si="48"/>
        <v>#REF!</v>
      </c>
    </row>
    <row r="64" spans="1:38" ht="26.25" thickBot="1" x14ac:dyDescent="0.25">
      <c r="A64" s="93" t="str">
        <f>Справочно!E41</f>
        <v>АО "Национальная иммунобиологическая компания"</v>
      </c>
      <c r="B64" s="72" t="e">
        <f>COUNTIF(РПЗ!#REF!,Справочно!$E41)</f>
        <v>#REF!</v>
      </c>
      <c r="C64" s="427" t="e">
        <f t="shared" si="39"/>
        <v>#REF!</v>
      </c>
      <c r="D64" s="428" t="e">
        <f>SUMIF(РПЗ!#REF!,Справочно!$E41,РПЗ!$L:$L)</f>
        <v>#REF!</v>
      </c>
      <c r="E64" s="427" t="e">
        <f t="shared" si="40"/>
        <v>#REF!</v>
      </c>
      <c r="G64" s="183" t="e">
        <f>COUNTIFS(РПЗ!#REF!,Справочно!$E41,РПЗ!$O:$O,ПП!$G$14)</f>
        <v>#REF!</v>
      </c>
      <c r="H64" s="406" t="e">
        <f>SUMIFS(РПЗ!$L:$L,РПЗ!#REF!,Справочно!$E41,РПЗ!$O:$O,ПП!$G$14)</f>
        <v>#REF!</v>
      </c>
      <c r="I64" s="184" t="e">
        <f>COUNTIFS(РПЗ!#REF!,Справочно!$E41,РПЗ!$O:$O,ПП!$I$14)</f>
        <v>#REF!</v>
      </c>
      <c r="J64" s="406" t="e">
        <f>SUMIFS(РПЗ!$L:$L,РПЗ!#REF!,Справочно!$E41,РПЗ!$O:$O,ПП!$I$14)</f>
        <v>#REF!</v>
      </c>
      <c r="K64" s="184" t="e">
        <f>COUNTIFS(РПЗ!#REF!,Справочно!$E41,РПЗ!$O:$O,ПП!$K$14)</f>
        <v>#REF!</v>
      </c>
      <c r="L64" s="442" t="e">
        <f>SUMIFS(РПЗ!$L:$L,РПЗ!#REF!,Справочно!$E41,РПЗ!$O:$O,ПП!$K$14)</f>
        <v>#REF!</v>
      </c>
      <c r="M64" s="229" t="e">
        <f t="shared" si="41"/>
        <v>#REF!</v>
      </c>
      <c r="N64" s="396" t="e">
        <f t="shared" si="42"/>
        <v>#REF!</v>
      </c>
      <c r="O64" s="231" t="e">
        <f>COUNTIFS(РПЗ!#REF!,Справочно!$E41,РПЗ!$O:$O,ПП!$O$14)</f>
        <v>#REF!</v>
      </c>
      <c r="P64" s="443" t="e">
        <f>SUMIFS(РПЗ!$L:$L,РПЗ!#REF!,Справочно!$E41,РПЗ!$O:$O,ПП!$O$14)</f>
        <v>#REF!</v>
      </c>
      <c r="Q64" s="223" t="e">
        <f>COUNTIFS(РПЗ!#REF!,Справочно!$E41,РПЗ!$O:$O,ПП!$Q$14)</f>
        <v>#REF!</v>
      </c>
      <c r="R64" s="443" t="e">
        <f>SUMIFS(РПЗ!$L:$L,РПЗ!#REF!,Справочно!$E41,РПЗ!$O:$O,ПП!$Q$14)</f>
        <v>#REF!</v>
      </c>
      <c r="S64" s="223" t="e">
        <f>COUNTIFS(РПЗ!#REF!,Справочно!$E41,РПЗ!$O:$O,ПП!$S$14)</f>
        <v>#REF!</v>
      </c>
      <c r="T64" s="444" t="e">
        <f>SUMIFS(РПЗ!$L:$L,РПЗ!#REF!,Справочно!$E41,РПЗ!$O:$O,ПП!$S$14)</f>
        <v>#REF!</v>
      </c>
      <c r="U64" s="233" t="e">
        <f t="shared" si="43"/>
        <v>#REF!</v>
      </c>
      <c r="V64" s="399" t="e">
        <f t="shared" si="49"/>
        <v>#REF!</v>
      </c>
      <c r="W64" s="236" t="e">
        <f>COUNTIFS(РПЗ!#REF!,Справочно!$E41,РПЗ!$O:$O,ПП!$W$14)</f>
        <v>#REF!</v>
      </c>
      <c r="X64" s="445" t="e">
        <f>SUMIFS(РПЗ!$L:$L,РПЗ!#REF!,Справочно!$E41,РПЗ!$O:$O,ПП!$W$14)</f>
        <v>#REF!</v>
      </c>
      <c r="Y64" s="180" t="e">
        <f>COUNTIFS(РПЗ!#REF!,Справочно!$E41,РПЗ!$O:$O,ПП!$Y$14)</f>
        <v>#REF!</v>
      </c>
      <c r="Z64" s="445" t="e">
        <f>SUMIFS(РПЗ!$L:$L,РПЗ!#REF!,Справочно!$E41,РПЗ!$O:$O,ПП!$Y$14)</f>
        <v>#REF!</v>
      </c>
      <c r="AA64" s="180" t="e">
        <f>COUNTIFS(РПЗ!#REF!,Справочно!$E41,РПЗ!$O:$O,ПП!$AA$14)</f>
        <v>#REF!</v>
      </c>
      <c r="AB64" s="446" t="e">
        <f>SUMIFS(РПЗ!$L:$L,РПЗ!#REF!,Справочно!$E41,РПЗ!$O:$O,ПП!$AA$14)</f>
        <v>#REF!</v>
      </c>
      <c r="AC64" s="234" t="e">
        <f t="shared" si="45"/>
        <v>#REF!</v>
      </c>
      <c r="AD64" s="402" t="e">
        <f t="shared" si="46"/>
        <v>#REF!</v>
      </c>
      <c r="AE64" s="241" t="e">
        <f>COUNTIFS(РПЗ!#REF!,Справочно!$E41,РПЗ!$O:$O,ПП!$AE$14)</f>
        <v>#REF!</v>
      </c>
      <c r="AF64" s="447" t="e">
        <f>SUMIFS(РПЗ!$L:$L,РПЗ!#REF!,Справочно!$E41,РПЗ!$O:$O,ПП!$AE$14)</f>
        <v>#REF!</v>
      </c>
      <c r="AG64" s="217" t="e">
        <f>COUNTIFS(РПЗ!#REF!,Справочно!$E41,РПЗ!$O:$O,ПП!$AG$14)</f>
        <v>#REF!</v>
      </c>
      <c r="AH64" s="447" t="e">
        <f>SUMIFS(РПЗ!$L:$L,РПЗ!#REF!,Справочно!$E41,РПЗ!$O:$O,ПП!$AG$14)</f>
        <v>#REF!</v>
      </c>
      <c r="AI64" s="217" t="e">
        <f>COUNTIFS(РПЗ!#REF!,Справочно!$E41,РПЗ!$O:$O,ПП!$AI$14)</f>
        <v>#REF!</v>
      </c>
      <c r="AJ64" s="448" t="e">
        <f>SUMIFS(РПЗ!$L:$L,РПЗ!#REF!,Справочно!$E41,РПЗ!$O:$O,ПП!$AI$14)</f>
        <v>#REF!</v>
      </c>
      <c r="AK64" s="238" t="e">
        <f t="shared" si="47"/>
        <v>#REF!</v>
      </c>
      <c r="AL64" s="405" t="e">
        <f t="shared" si="48"/>
        <v>#REF!</v>
      </c>
    </row>
    <row r="65" spans="1:38" ht="26.25" thickBot="1" x14ac:dyDescent="0.25">
      <c r="A65" s="93" t="str">
        <f>Справочно!E42</f>
        <v>АО "РТ-Химические технологии и композиционные материалы"</v>
      </c>
      <c r="B65" s="72" t="e">
        <f>COUNTIF(РПЗ!#REF!,Справочно!$E42)</f>
        <v>#REF!</v>
      </c>
      <c r="C65" s="427" t="e">
        <f t="shared" si="39"/>
        <v>#REF!</v>
      </c>
      <c r="D65" s="428" t="e">
        <f>SUMIF(РПЗ!#REF!,Справочно!$E42,РПЗ!$L:$L)</f>
        <v>#REF!</v>
      </c>
      <c r="E65" s="427" t="e">
        <f t="shared" si="40"/>
        <v>#REF!</v>
      </c>
      <c r="G65" s="183" t="e">
        <f>COUNTIFS(РПЗ!#REF!,Справочно!$E42,РПЗ!$O:$O,ПП!$G$14)</f>
        <v>#REF!</v>
      </c>
      <c r="H65" s="406" t="e">
        <f>SUMIFS(РПЗ!$L:$L,РПЗ!#REF!,Справочно!$E42,РПЗ!$O:$O,ПП!$G$14)</f>
        <v>#REF!</v>
      </c>
      <c r="I65" s="184" t="e">
        <f>COUNTIFS(РПЗ!#REF!,Справочно!$E42,РПЗ!$O:$O,ПП!$I$14)</f>
        <v>#REF!</v>
      </c>
      <c r="J65" s="406" t="e">
        <f>SUMIFS(РПЗ!$L:$L,РПЗ!#REF!,Справочно!$E42,РПЗ!$O:$O,ПП!$I$14)</f>
        <v>#REF!</v>
      </c>
      <c r="K65" s="184" t="e">
        <f>COUNTIFS(РПЗ!#REF!,Справочно!$E42,РПЗ!$O:$O,ПП!$K$14)</f>
        <v>#REF!</v>
      </c>
      <c r="L65" s="442" t="e">
        <f>SUMIFS(РПЗ!$L:$L,РПЗ!#REF!,Справочно!$E42,РПЗ!$O:$O,ПП!$K$14)</f>
        <v>#REF!</v>
      </c>
      <c r="M65" s="229" t="e">
        <f t="shared" si="41"/>
        <v>#REF!</v>
      </c>
      <c r="N65" s="396" t="e">
        <f t="shared" si="42"/>
        <v>#REF!</v>
      </c>
      <c r="O65" s="231" t="e">
        <f>COUNTIFS(РПЗ!#REF!,Справочно!$E42,РПЗ!$O:$O,ПП!$O$14)</f>
        <v>#REF!</v>
      </c>
      <c r="P65" s="443" t="e">
        <f>SUMIFS(РПЗ!$L:$L,РПЗ!#REF!,Справочно!$E42,РПЗ!$O:$O,ПП!$O$14)</f>
        <v>#REF!</v>
      </c>
      <c r="Q65" s="223" t="e">
        <f>COUNTIFS(РПЗ!#REF!,Справочно!$E42,РПЗ!$O:$O,ПП!$Q$14)</f>
        <v>#REF!</v>
      </c>
      <c r="R65" s="443" t="e">
        <f>SUMIFS(РПЗ!$L:$L,РПЗ!#REF!,Справочно!$E42,РПЗ!$O:$O,ПП!$Q$14)</f>
        <v>#REF!</v>
      </c>
      <c r="S65" s="223" t="e">
        <f>COUNTIFS(РПЗ!#REF!,Справочно!$E42,РПЗ!$O:$O,ПП!$S$14)</f>
        <v>#REF!</v>
      </c>
      <c r="T65" s="444" t="e">
        <f>SUMIFS(РПЗ!$L:$L,РПЗ!#REF!,Справочно!$E42,РПЗ!$O:$O,ПП!$S$14)</f>
        <v>#REF!</v>
      </c>
      <c r="U65" s="233" t="e">
        <f t="shared" si="43"/>
        <v>#REF!</v>
      </c>
      <c r="V65" s="399" t="e">
        <f t="shared" si="49"/>
        <v>#REF!</v>
      </c>
      <c r="W65" s="236" t="e">
        <f>COUNTIFS(РПЗ!#REF!,Справочно!$E42,РПЗ!$O:$O,ПП!$W$14)</f>
        <v>#REF!</v>
      </c>
      <c r="X65" s="445" t="e">
        <f>SUMIFS(РПЗ!$L:$L,РПЗ!#REF!,Справочно!$E42,РПЗ!$O:$O,ПП!$W$14)</f>
        <v>#REF!</v>
      </c>
      <c r="Y65" s="180" t="e">
        <f>COUNTIFS(РПЗ!#REF!,Справочно!$E42,РПЗ!$O:$O,ПП!$Y$14)</f>
        <v>#REF!</v>
      </c>
      <c r="Z65" s="445" t="e">
        <f>SUMIFS(РПЗ!$L:$L,РПЗ!#REF!,Справочно!$E42,РПЗ!$O:$O,ПП!$Y$14)</f>
        <v>#REF!</v>
      </c>
      <c r="AA65" s="180" t="e">
        <f>COUNTIFS(РПЗ!#REF!,Справочно!$E42,РПЗ!$O:$O,ПП!$AA$14)</f>
        <v>#REF!</v>
      </c>
      <c r="AB65" s="446" t="e">
        <f>SUMIFS(РПЗ!$L:$L,РПЗ!#REF!,Справочно!$E42,РПЗ!$O:$O,ПП!$AA$14)</f>
        <v>#REF!</v>
      </c>
      <c r="AC65" s="234" t="e">
        <f t="shared" si="45"/>
        <v>#REF!</v>
      </c>
      <c r="AD65" s="402" t="e">
        <f t="shared" si="46"/>
        <v>#REF!</v>
      </c>
      <c r="AE65" s="241" t="e">
        <f>COUNTIFS(РПЗ!#REF!,Справочно!$E42,РПЗ!$O:$O,ПП!$AE$14)</f>
        <v>#REF!</v>
      </c>
      <c r="AF65" s="447" t="e">
        <f>SUMIFS(РПЗ!$L:$L,РПЗ!#REF!,Справочно!$E42,РПЗ!$O:$O,ПП!$AE$14)</f>
        <v>#REF!</v>
      </c>
      <c r="AG65" s="217" t="e">
        <f>COUNTIFS(РПЗ!#REF!,Справочно!$E42,РПЗ!$O:$O,ПП!$AG$14)</f>
        <v>#REF!</v>
      </c>
      <c r="AH65" s="447" t="e">
        <f>SUMIFS(РПЗ!$L:$L,РПЗ!#REF!,Справочно!$E42,РПЗ!$O:$O,ПП!$AG$14)</f>
        <v>#REF!</v>
      </c>
      <c r="AI65" s="217" t="e">
        <f>COUNTIFS(РПЗ!#REF!,Справочно!$E42,РПЗ!$O:$O,ПП!$AI$14)</f>
        <v>#REF!</v>
      </c>
      <c r="AJ65" s="448" t="e">
        <f>SUMIFS(РПЗ!$L:$L,РПЗ!#REF!,Справочно!$E42,РПЗ!$O:$O,ПП!$AI$14)</f>
        <v>#REF!</v>
      </c>
      <c r="AK65" s="238" t="e">
        <f t="shared" si="47"/>
        <v>#REF!</v>
      </c>
      <c r="AL65" s="405" t="e">
        <f t="shared" si="48"/>
        <v>#REF!</v>
      </c>
    </row>
    <row r="66" spans="1:38" ht="13.5" thickBot="1" x14ac:dyDescent="0.25">
      <c r="A66" s="93" t="str">
        <f>Справочно!E43</f>
        <v>АО "Технодинамика"</v>
      </c>
      <c r="B66" s="72" t="e">
        <f>COUNTIF(РПЗ!#REF!,Справочно!$E43)</f>
        <v>#REF!</v>
      </c>
      <c r="C66" s="427" t="e">
        <f t="shared" si="39"/>
        <v>#REF!</v>
      </c>
      <c r="D66" s="428" t="e">
        <f>SUMIF(РПЗ!#REF!,Справочно!$E43,РПЗ!$L:$L)</f>
        <v>#REF!</v>
      </c>
      <c r="E66" s="427" t="e">
        <f t="shared" si="40"/>
        <v>#REF!</v>
      </c>
      <c r="G66" s="183" t="e">
        <f>COUNTIFS(РПЗ!#REF!,Справочно!$E43,РПЗ!$O:$O,ПП!$G$14)</f>
        <v>#REF!</v>
      </c>
      <c r="H66" s="406" t="e">
        <f>SUMIFS(РПЗ!$L:$L,РПЗ!#REF!,Справочно!$E43,РПЗ!$O:$O,ПП!$G$14)</f>
        <v>#REF!</v>
      </c>
      <c r="I66" s="184" t="e">
        <f>COUNTIFS(РПЗ!#REF!,Справочно!$E43,РПЗ!$O:$O,ПП!$I$14)</f>
        <v>#REF!</v>
      </c>
      <c r="J66" s="406" t="e">
        <f>SUMIFS(РПЗ!$L:$L,РПЗ!#REF!,Справочно!$E43,РПЗ!$O:$O,ПП!$I$14)</f>
        <v>#REF!</v>
      </c>
      <c r="K66" s="184" t="e">
        <f>COUNTIFS(РПЗ!#REF!,Справочно!$E43,РПЗ!$O:$O,ПП!$K$14)</f>
        <v>#REF!</v>
      </c>
      <c r="L66" s="442" t="e">
        <f>SUMIFS(РПЗ!$L:$L,РПЗ!#REF!,Справочно!$E43,РПЗ!$O:$O,ПП!$K$14)</f>
        <v>#REF!</v>
      </c>
      <c r="M66" s="229" t="e">
        <f t="shared" si="41"/>
        <v>#REF!</v>
      </c>
      <c r="N66" s="396" t="e">
        <f t="shared" si="42"/>
        <v>#REF!</v>
      </c>
      <c r="O66" s="231" t="e">
        <f>COUNTIFS(РПЗ!#REF!,Справочно!$E43,РПЗ!$O:$O,ПП!$O$14)</f>
        <v>#REF!</v>
      </c>
      <c r="P66" s="443" t="e">
        <f>SUMIFS(РПЗ!$L:$L,РПЗ!#REF!,Справочно!$E43,РПЗ!$O:$O,ПП!$O$14)</f>
        <v>#REF!</v>
      </c>
      <c r="Q66" s="223" t="e">
        <f>COUNTIFS(РПЗ!#REF!,Справочно!$E43,РПЗ!$O:$O,ПП!$Q$14)</f>
        <v>#REF!</v>
      </c>
      <c r="R66" s="443" t="e">
        <f>SUMIFS(РПЗ!$L:$L,РПЗ!#REF!,Справочно!$E43,РПЗ!$O:$O,ПП!$Q$14)</f>
        <v>#REF!</v>
      </c>
      <c r="S66" s="223" t="e">
        <f>COUNTIFS(РПЗ!#REF!,Справочно!$E43,РПЗ!$O:$O,ПП!$S$14)</f>
        <v>#REF!</v>
      </c>
      <c r="T66" s="444" t="e">
        <f>SUMIFS(РПЗ!$L:$L,РПЗ!#REF!,Справочно!$E43,РПЗ!$O:$O,ПП!$S$14)</f>
        <v>#REF!</v>
      </c>
      <c r="U66" s="233" t="e">
        <f t="shared" si="43"/>
        <v>#REF!</v>
      </c>
      <c r="V66" s="399" t="e">
        <f t="shared" si="49"/>
        <v>#REF!</v>
      </c>
      <c r="W66" s="236" t="e">
        <f>COUNTIFS(РПЗ!#REF!,Справочно!$E43,РПЗ!$O:$O,ПП!$W$14)</f>
        <v>#REF!</v>
      </c>
      <c r="X66" s="445" t="e">
        <f>SUMIFS(РПЗ!$L:$L,РПЗ!#REF!,Справочно!$E43,РПЗ!$O:$O,ПП!$W$14)</f>
        <v>#REF!</v>
      </c>
      <c r="Y66" s="180" t="e">
        <f>COUNTIFS(РПЗ!#REF!,Справочно!$E43,РПЗ!$O:$O,ПП!$Y$14)</f>
        <v>#REF!</v>
      </c>
      <c r="Z66" s="445" t="e">
        <f>SUMIFS(РПЗ!$L:$L,РПЗ!#REF!,Справочно!$E43,РПЗ!$O:$O,ПП!$Y$14)</f>
        <v>#REF!</v>
      </c>
      <c r="AA66" s="180" t="e">
        <f>COUNTIFS(РПЗ!#REF!,Справочно!$E43,РПЗ!$O:$O,ПП!$AA$14)</f>
        <v>#REF!</v>
      </c>
      <c r="AB66" s="446" t="e">
        <f>SUMIFS(РПЗ!$L:$L,РПЗ!#REF!,Справочно!$E43,РПЗ!$O:$O,ПП!$AA$14)</f>
        <v>#REF!</v>
      </c>
      <c r="AC66" s="234" t="e">
        <f t="shared" si="45"/>
        <v>#REF!</v>
      </c>
      <c r="AD66" s="402" t="e">
        <f t="shared" si="46"/>
        <v>#REF!</v>
      </c>
      <c r="AE66" s="241" t="e">
        <f>COUNTIFS(РПЗ!#REF!,Справочно!$E43,РПЗ!$O:$O,ПП!$AE$14)</f>
        <v>#REF!</v>
      </c>
      <c r="AF66" s="447" t="e">
        <f>SUMIFS(РПЗ!$L:$L,РПЗ!#REF!,Справочно!$E43,РПЗ!$O:$O,ПП!$AE$14)</f>
        <v>#REF!</v>
      </c>
      <c r="AG66" s="217" t="e">
        <f>COUNTIFS(РПЗ!#REF!,Справочно!$E43,РПЗ!$O:$O,ПП!$AG$14)</f>
        <v>#REF!</v>
      </c>
      <c r="AH66" s="447" t="e">
        <f>SUMIFS(РПЗ!$L:$L,РПЗ!#REF!,Справочно!$E43,РПЗ!$O:$O,ПП!$AG$14)</f>
        <v>#REF!</v>
      </c>
      <c r="AI66" s="217" t="e">
        <f>COUNTIFS(РПЗ!#REF!,Справочно!$E43,РПЗ!$O:$O,ПП!$AI$14)</f>
        <v>#REF!</v>
      </c>
      <c r="AJ66" s="448" t="e">
        <f>SUMIFS(РПЗ!$L:$L,РПЗ!#REF!,Справочно!$E43,РПЗ!$O:$O,ПП!$AI$14)</f>
        <v>#REF!</v>
      </c>
      <c r="AK66" s="238" t="e">
        <f t="shared" si="47"/>
        <v>#REF!</v>
      </c>
      <c r="AL66" s="405" t="e">
        <f t="shared" si="48"/>
        <v>#REF!</v>
      </c>
    </row>
    <row r="67" spans="1:38" ht="13.5" thickBot="1" x14ac:dyDescent="0.25">
      <c r="A67" s="93" t="str">
        <f>Справочно!E44</f>
        <v>АО "Швабе"</v>
      </c>
      <c r="B67" s="270" t="e">
        <f>COUNTIF(РПЗ!#REF!,Справочно!$E44)</f>
        <v>#REF!</v>
      </c>
      <c r="C67" s="429" t="e">
        <f t="shared" si="39"/>
        <v>#REF!</v>
      </c>
      <c r="D67" s="430" t="e">
        <f>SUMIF(РПЗ!#REF!,Справочно!$E44,РПЗ!$L:$L)</f>
        <v>#REF!</v>
      </c>
      <c r="E67" s="429" t="e">
        <f t="shared" si="40"/>
        <v>#REF!</v>
      </c>
      <c r="G67" s="185" t="e">
        <f>COUNTIFS(РПЗ!#REF!,Справочно!$E44,РПЗ!$O:$O,ПП!$G$14)</f>
        <v>#REF!</v>
      </c>
      <c r="H67" s="408" t="e">
        <f>SUMIFS(РПЗ!$L:$L,РПЗ!#REF!,Справочно!$E44,РПЗ!$O:$O,ПП!$G$14)</f>
        <v>#REF!</v>
      </c>
      <c r="I67" s="186" t="e">
        <f>COUNTIFS(РПЗ!#REF!,Справочно!$E44,РПЗ!$O:$O,ПП!$I$14)</f>
        <v>#REF!</v>
      </c>
      <c r="J67" s="408" t="e">
        <f>SUMIFS(РПЗ!$L:$L,РПЗ!#REF!,Справочно!$E44,РПЗ!$O:$O,ПП!$I$14)</f>
        <v>#REF!</v>
      </c>
      <c r="K67" s="186" t="e">
        <f>COUNTIFS(РПЗ!#REF!,Справочно!$E44,РПЗ!$O:$O,ПП!$K$14)</f>
        <v>#REF!</v>
      </c>
      <c r="L67" s="449" t="e">
        <f>SUMIFS(РПЗ!$L:$L,РПЗ!#REF!,Справочно!$E44,РПЗ!$O:$O,ПП!$K$14)</f>
        <v>#REF!</v>
      </c>
      <c r="M67" s="229" t="e">
        <f>SUM(G67,I67,K67)</f>
        <v>#REF!</v>
      </c>
      <c r="N67" s="396" t="e">
        <f t="shared" si="42"/>
        <v>#REF!</v>
      </c>
      <c r="O67" s="268" t="e">
        <f>COUNTIFS(РПЗ!#REF!,Справочно!$E44,РПЗ!$O:$O,ПП!$O$14)</f>
        <v>#REF!</v>
      </c>
      <c r="P67" s="450" t="e">
        <f>SUMIFS(РПЗ!$L:$L,РПЗ!#REF!,Справочно!$E44,РПЗ!$O:$O,ПП!$O$14)</f>
        <v>#REF!</v>
      </c>
      <c r="Q67" s="269" t="e">
        <f>COUNTIFS(РПЗ!#REF!,Справочно!$E44,РПЗ!$O:$O,ПП!$Q$14)</f>
        <v>#REF!</v>
      </c>
      <c r="R67" s="450" t="e">
        <f>SUMIFS(РПЗ!$L:$L,РПЗ!#REF!,Справочно!$E44,РПЗ!$O:$O,ПП!$Q$14)</f>
        <v>#REF!</v>
      </c>
      <c r="S67" s="269" t="e">
        <f>COUNTIFS(РПЗ!#REF!,Справочно!$E44,РПЗ!$O:$O,ПП!$S$14)</f>
        <v>#REF!</v>
      </c>
      <c r="T67" s="451" t="e">
        <f>SUMIFS(РПЗ!$L:$L,РПЗ!#REF!,Справочно!$E44,РПЗ!$O:$O,ПП!$S$14)</f>
        <v>#REF!</v>
      </c>
      <c r="U67" s="233" t="e">
        <f t="shared" si="43"/>
        <v>#REF!</v>
      </c>
      <c r="V67" s="399" t="e">
        <f t="shared" si="49"/>
        <v>#REF!</v>
      </c>
      <c r="W67" s="264" t="e">
        <f>COUNTIFS(РПЗ!#REF!,Справочно!$E44,РПЗ!$O:$O,ПП!$W$14)</f>
        <v>#REF!</v>
      </c>
      <c r="X67" s="452" t="e">
        <f>SUMIFS(РПЗ!$L:$L,РПЗ!#REF!,Справочно!$E44,РПЗ!$O:$O,ПП!$W$14)</f>
        <v>#REF!</v>
      </c>
      <c r="Y67" s="265" t="e">
        <f>COUNTIFS(РПЗ!#REF!,Справочно!$E44,РПЗ!$O:$O,ПП!$Y$14)</f>
        <v>#REF!</v>
      </c>
      <c r="Z67" s="452" t="e">
        <f>SUMIFS(РПЗ!$L:$L,РПЗ!#REF!,Справочно!$E44,РПЗ!$O:$O,ПП!$Y$14)</f>
        <v>#REF!</v>
      </c>
      <c r="AA67" s="265" t="e">
        <f>COUNTIFS(РПЗ!#REF!,Справочно!$E44,РПЗ!$O:$O,ПП!$AA$14)</f>
        <v>#REF!</v>
      </c>
      <c r="AB67" s="453" t="e">
        <f>SUMIFS(РПЗ!$L:$L,РПЗ!#REF!,Справочно!$E44,РПЗ!$O:$O,ПП!$AA$14)</f>
        <v>#REF!</v>
      </c>
      <c r="AC67" s="234" t="e">
        <f t="shared" si="45"/>
        <v>#REF!</v>
      </c>
      <c r="AD67" s="402" t="e">
        <f t="shared" si="46"/>
        <v>#REF!</v>
      </c>
      <c r="AE67" s="266" t="e">
        <f>COUNTIFS(РПЗ!#REF!,Справочно!$E44,РПЗ!$O:$O,ПП!$AE$14)</f>
        <v>#REF!</v>
      </c>
      <c r="AF67" s="454" t="e">
        <f>SUMIFS(РПЗ!$L:$L,РПЗ!#REF!,Справочно!$E44,РПЗ!$O:$O,ПП!$AE$14)</f>
        <v>#REF!</v>
      </c>
      <c r="AG67" s="267" t="e">
        <f>COUNTIFS(РПЗ!#REF!,Справочно!$E44,РПЗ!$O:$O,ПП!$AG$14)</f>
        <v>#REF!</v>
      </c>
      <c r="AH67" s="454" t="e">
        <f>SUMIFS(РПЗ!$L:$L,РПЗ!#REF!,Справочно!$E44,РПЗ!$O:$O,ПП!$AG$14)</f>
        <v>#REF!</v>
      </c>
      <c r="AI67" s="267" t="e">
        <f>COUNTIFS(РПЗ!#REF!,Справочно!$E44,РПЗ!$O:$O,ПП!$AI$14)</f>
        <v>#REF!</v>
      </c>
      <c r="AJ67" s="455" t="e">
        <f>SUMIFS(РПЗ!$L:$L,РПЗ!#REF!,Справочно!$E44,РПЗ!$O:$O,ПП!$AI$14)</f>
        <v>#REF!</v>
      </c>
      <c r="AK67" s="238" t="e">
        <f t="shared" si="47"/>
        <v>#REF!</v>
      </c>
      <c r="AL67" s="405" t="e">
        <f t="shared" si="48"/>
        <v>#REF!</v>
      </c>
    </row>
    <row r="68" spans="1:38" ht="13.5" thickBot="1" x14ac:dyDescent="0.25">
      <c r="A68" s="94" t="str">
        <f>Справочно!E45</f>
        <v>АО "Вертолеты России"</v>
      </c>
      <c r="B68" s="89" t="e">
        <f>COUNTIF(РПЗ!#REF!,Справочно!$E45)</f>
        <v>#REF!</v>
      </c>
      <c r="C68" s="431" t="e">
        <f t="shared" si="39"/>
        <v>#REF!</v>
      </c>
      <c r="D68" s="432" t="e">
        <f>SUMIF(РПЗ!#REF!,Справочно!$E45,РПЗ!$L:$L)</f>
        <v>#REF!</v>
      </c>
      <c r="E68" s="431" t="e">
        <f t="shared" si="40"/>
        <v>#REF!</v>
      </c>
      <c r="G68" s="227" t="e">
        <f>COUNTIFS(РПЗ!#REF!,Справочно!$E45,РПЗ!$O:$O,ПП!$G$14)</f>
        <v>#REF!</v>
      </c>
      <c r="H68" s="456" t="e">
        <f>SUMIFS(РПЗ!$L:$L,РПЗ!#REF!,Справочно!$E45,РПЗ!$O:$O,ПП!$G$14)</f>
        <v>#REF!</v>
      </c>
      <c r="I68" s="205" t="e">
        <f>COUNTIFS(РПЗ!#REF!,Справочно!$E45,РПЗ!$O:$O,ПП!$I$14)</f>
        <v>#REF!</v>
      </c>
      <c r="J68" s="456" t="e">
        <f>SUMIFS(РПЗ!$L:$L,РПЗ!#REF!,Справочно!$E45,РПЗ!$O:$O,ПП!$I$14)</f>
        <v>#REF!</v>
      </c>
      <c r="K68" s="205" t="e">
        <f>COUNTIFS(РПЗ!#REF!,Справочно!$E45,РПЗ!$O:$O,ПП!$K$14)</f>
        <v>#REF!</v>
      </c>
      <c r="L68" s="457" t="e">
        <f>SUMIFS(РПЗ!$L:$L,РПЗ!#REF!,Справочно!$E45,РПЗ!$O:$O,ПП!$K$14)</f>
        <v>#REF!</v>
      </c>
      <c r="M68" s="229" t="e">
        <f>SUM(G68,I68,K68)</f>
        <v>#REF!</v>
      </c>
      <c r="N68" s="396" t="e">
        <f t="shared" si="42"/>
        <v>#REF!</v>
      </c>
      <c r="O68" s="232" t="e">
        <f>COUNTIFS(РПЗ!#REF!,Справочно!$E45,РПЗ!$O:$O,ПП!$O$14)</f>
        <v>#REF!</v>
      </c>
      <c r="P68" s="458" t="e">
        <f>SUMIFS(РПЗ!$L:$L,РПЗ!#REF!,Справочно!$E45,РПЗ!$O:$O,ПП!$O$14)</f>
        <v>#REF!</v>
      </c>
      <c r="Q68" s="224" t="e">
        <f>COUNTIFS(РПЗ!#REF!,Справочно!$E45,РПЗ!$O:$O,ПП!$Q$14)</f>
        <v>#REF!</v>
      </c>
      <c r="R68" s="458" t="e">
        <f>SUMIFS(РПЗ!$L:$L,РПЗ!#REF!,Справочно!$E45,РПЗ!$O:$O,ПП!$Q$14)</f>
        <v>#REF!</v>
      </c>
      <c r="S68" s="224" t="e">
        <f>COUNTIFS(РПЗ!#REF!,Справочно!$E45,РПЗ!$O:$O,ПП!$S$14)</f>
        <v>#REF!</v>
      </c>
      <c r="T68" s="459" t="e">
        <f>SUMIFS(РПЗ!$L:$L,РПЗ!#REF!,Справочно!$E45,РПЗ!$O:$O,ПП!$S$14)</f>
        <v>#REF!</v>
      </c>
      <c r="U68" s="233" t="e">
        <f t="shared" si="43"/>
        <v>#REF!</v>
      </c>
      <c r="V68" s="399" t="e">
        <f t="shared" si="49"/>
        <v>#REF!</v>
      </c>
      <c r="W68" s="237" t="e">
        <f>COUNTIFS(РПЗ!#REF!,Справочно!$E45,РПЗ!$O:$O,ПП!$W$14)</f>
        <v>#REF!</v>
      </c>
      <c r="X68" s="460" t="e">
        <f>SUMIFS(РПЗ!$L:$L,РПЗ!#REF!,Справочно!$E45,РПЗ!$O:$O,ПП!$W$14)</f>
        <v>#REF!</v>
      </c>
      <c r="Y68" s="222" t="e">
        <f>COUNTIFS(РПЗ!#REF!,Справочно!$E45,РПЗ!$O:$O,ПП!$Y$14)</f>
        <v>#REF!</v>
      </c>
      <c r="Z68" s="460" t="e">
        <f>SUMIFS(РПЗ!$L:$L,РПЗ!#REF!,Справочно!$E45,РПЗ!$O:$O,ПП!$Y$14)</f>
        <v>#REF!</v>
      </c>
      <c r="AA68" s="222" t="e">
        <f>COUNTIFS(РПЗ!#REF!,Справочно!$E45,РПЗ!$O:$O,ПП!$AA$14)</f>
        <v>#REF!</v>
      </c>
      <c r="AB68" s="461" t="e">
        <f>SUMIFS(РПЗ!$L:$L,РПЗ!#REF!,Справочно!$E45,РПЗ!$O:$O,ПП!$AA$14)</f>
        <v>#REF!</v>
      </c>
      <c r="AC68" s="234" t="e">
        <f t="shared" si="45"/>
        <v>#REF!</v>
      </c>
      <c r="AD68" s="402" t="e">
        <f t="shared" si="46"/>
        <v>#REF!</v>
      </c>
      <c r="AE68" s="240" t="e">
        <f>COUNTIFS(РПЗ!#REF!,Справочно!$E45,РПЗ!$O:$O,ПП!$AE$14)</f>
        <v>#REF!</v>
      </c>
      <c r="AF68" s="462" t="e">
        <f>SUMIFS(РПЗ!$L:$L,РПЗ!#REF!,Справочно!$E45,РПЗ!$O:$O,ПП!$AE$14)</f>
        <v>#REF!</v>
      </c>
      <c r="AG68" s="218" t="e">
        <f>COUNTIFS(РПЗ!#REF!,Справочно!$E45,РПЗ!$O:$O,ПП!$AG$14)</f>
        <v>#REF!</v>
      </c>
      <c r="AH68" s="462" t="e">
        <f>SUMIFS(РПЗ!$L:$L,РПЗ!#REF!,Справочно!$E45,РПЗ!$O:$O,ПП!$AG$14)</f>
        <v>#REF!</v>
      </c>
      <c r="AI68" s="218" t="e">
        <f>COUNTIFS(РПЗ!#REF!,Справочно!$E45,РПЗ!$O:$O,ПП!$AI$14)</f>
        <v>#REF!</v>
      </c>
      <c r="AJ68" s="463" t="e">
        <f>SUMIFS(РПЗ!$L:$L,РПЗ!#REF!,Справочно!$E45,РПЗ!$O:$O,ПП!$AI$14)</f>
        <v>#REF!</v>
      </c>
      <c r="AK68" s="238" t="e">
        <f t="shared" si="47"/>
        <v>#REF!</v>
      </c>
      <c r="AL68" s="405" t="e">
        <f t="shared" si="48"/>
        <v>#REF!</v>
      </c>
    </row>
    <row r="69" spans="1:38" ht="13.5" thickBot="1" x14ac:dyDescent="0.25">
      <c r="A69" s="73" t="s">
        <v>245</v>
      </c>
      <c r="B69" s="483" t="e">
        <f>SUM(B44:B68)</f>
        <v>#REF!</v>
      </c>
      <c r="C69" s="484" t="e">
        <f>B69/$B$13</f>
        <v>#REF!</v>
      </c>
      <c r="D69" s="485" t="e">
        <f>SUM(D44:D68)</f>
        <v>#REF!</v>
      </c>
      <c r="E69" s="484" t="e">
        <f t="shared" si="40"/>
        <v>#REF!</v>
      </c>
      <c r="G69" s="88" t="e">
        <f t="shared" ref="G69:AL69" si="50">SUM(G44:G68)</f>
        <v>#REF!</v>
      </c>
      <c r="H69" s="464" t="e">
        <f t="shared" si="50"/>
        <v>#REF!</v>
      </c>
      <c r="I69" s="174" t="e">
        <f t="shared" si="50"/>
        <v>#REF!</v>
      </c>
      <c r="J69" s="464" t="e">
        <f t="shared" si="50"/>
        <v>#REF!</v>
      </c>
      <c r="K69" s="174" t="e">
        <f t="shared" si="50"/>
        <v>#REF!</v>
      </c>
      <c r="L69" s="465" t="e">
        <f t="shared" si="50"/>
        <v>#REF!</v>
      </c>
      <c r="M69" s="215" t="e">
        <f t="shared" si="50"/>
        <v>#REF!</v>
      </c>
      <c r="N69" s="466" t="e">
        <f t="shared" si="50"/>
        <v>#REF!</v>
      </c>
      <c r="O69" s="88" t="e">
        <f t="shared" si="50"/>
        <v>#REF!</v>
      </c>
      <c r="P69" s="464" t="e">
        <f t="shared" si="50"/>
        <v>#REF!</v>
      </c>
      <c r="Q69" s="174" t="e">
        <f t="shared" si="50"/>
        <v>#REF!</v>
      </c>
      <c r="R69" s="464" t="e">
        <f t="shared" si="50"/>
        <v>#REF!</v>
      </c>
      <c r="S69" s="174" t="e">
        <f t="shared" si="50"/>
        <v>#REF!</v>
      </c>
      <c r="T69" s="465" t="e">
        <f t="shared" si="50"/>
        <v>#REF!</v>
      </c>
      <c r="U69" s="215" t="e">
        <f t="shared" si="50"/>
        <v>#REF!</v>
      </c>
      <c r="V69" s="466" t="e">
        <f t="shared" si="50"/>
        <v>#REF!</v>
      </c>
      <c r="W69" s="88" t="e">
        <f t="shared" si="50"/>
        <v>#REF!</v>
      </c>
      <c r="X69" s="433" t="e">
        <f t="shared" si="50"/>
        <v>#REF!</v>
      </c>
      <c r="Y69" s="88" t="e">
        <f t="shared" si="50"/>
        <v>#REF!</v>
      </c>
      <c r="Z69" s="433" t="e">
        <f t="shared" si="50"/>
        <v>#REF!</v>
      </c>
      <c r="AA69" s="88" t="e">
        <f t="shared" si="50"/>
        <v>#REF!</v>
      </c>
      <c r="AB69" s="467" t="e">
        <f t="shared" si="50"/>
        <v>#REF!</v>
      </c>
      <c r="AC69" s="215" t="e">
        <f t="shared" si="50"/>
        <v>#REF!</v>
      </c>
      <c r="AD69" s="466" t="e">
        <f t="shared" si="50"/>
        <v>#REF!</v>
      </c>
      <c r="AE69" s="88" t="e">
        <f t="shared" si="50"/>
        <v>#REF!</v>
      </c>
      <c r="AF69" s="464" t="e">
        <f t="shared" si="50"/>
        <v>#REF!</v>
      </c>
      <c r="AG69" s="174" t="e">
        <f t="shared" si="50"/>
        <v>#REF!</v>
      </c>
      <c r="AH69" s="464" t="e">
        <f t="shared" si="50"/>
        <v>#REF!</v>
      </c>
      <c r="AI69" s="174" t="e">
        <f t="shared" si="50"/>
        <v>#REF!</v>
      </c>
      <c r="AJ69" s="465" t="e">
        <f t="shared" si="50"/>
        <v>#REF!</v>
      </c>
      <c r="AK69" s="215" t="e">
        <f t="shared" si="50"/>
        <v>#REF!</v>
      </c>
      <c r="AL69" s="466" t="e">
        <f t="shared" si="50"/>
        <v>#REF!</v>
      </c>
    </row>
    <row r="70" spans="1:38" x14ac:dyDescent="0.2">
      <c r="G70" s="109"/>
      <c r="H70" s="110"/>
      <c r="I70" s="110"/>
      <c r="J70" s="110"/>
      <c r="K70" s="110"/>
      <c r="L70" s="110"/>
      <c r="M70" s="110"/>
      <c r="N70" s="177"/>
      <c r="O70" s="109"/>
      <c r="P70" s="110"/>
      <c r="Q70" s="110"/>
      <c r="R70" s="110"/>
      <c r="S70" s="110"/>
      <c r="T70" s="110"/>
      <c r="U70" s="110"/>
      <c r="V70" s="177"/>
      <c r="W70" s="109"/>
      <c r="X70" s="110"/>
      <c r="Y70" s="110"/>
      <c r="Z70" s="110"/>
      <c r="AA70" s="110"/>
      <c r="AB70" s="110"/>
      <c r="AC70" s="110"/>
      <c r="AD70" s="177"/>
      <c r="AE70" s="109"/>
      <c r="AF70" s="110"/>
      <c r="AG70" s="110"/>
      <c r="AH70" s="110"/>
      <c r="AI70" s="110"/>
      <c r="AJ70" s="110"/>
      <c r="AK70" s="110"/>
      <c r="AL70" s="177"/>
    </row>
    <row r="71" spans="1:38" ht="25.5" customHeight="1" thickBot="1" x14ac:dyDescent="0.25">
      <c r="A71" s="744" t="s">
        <v>1323</v>
      </c>
      <c r="B71" s="744"/>
      <c r="C71" s="744"/>
      <c r="D71" s="744"/>
      <c r="E71" s="744"/>
      <c r="G71" s="109"/>
      <c r="H71" s="110"/>
      <c r="I71" s="110"/>
      <c r="J71" s="110"/>
      <c r="K71" s="110"/>
      <c r="L71" s="110"/>
      <c r="M71" s="110"/>
      <c r="N71" s="177"/>
      <c r="O71" s="109"/>
      <c r="P71" s="110"/>
      <c r="Q71" s="110"/>
      <c r="R71" s="110"/>
      <c r="S71" s="110"/>
      <c r="T71" s="110"/>
      <c r="U71" s="110"/>
      <c r="V71" s="177"/>
      <c r="W71" s="109"/>
      <c r="X71" s="110"/>
      <c r="Y71" s="110"/>
      <c r="Z71" s="110"/>
      <c r="AA71" s="110"/>
      <c r="AB71" s="110"/>
      <c r="AC71" s="110"/>
      <c r="AD71" s="177"/>
      <c r="AE71" s="109"/>
      <c r="AF71" s="110"/>
      <c r="AG71" s="110"/>
      <c r="AH71" s="110"/>
      <c r="AI71" s="110"/>
      <c r="AJ71" s="110"/>
      <c r="AK71" s="110"/>
      <c r="AL71" s="177"/>
    </row>
    <row r="72" spans="1:38" ht="26.25" thickBot="1" x14ac:dyDescent="0.25">
      <c r="A72" s="313" t="s">
        <v>248</v>
      </c>
      <c r="B72" s="61" t="s">
        <v>319</v>
      </c>
      <c r="C72" s="62" t="s">
        <v>243</v>
      </c>
      <c r="D72" s="63" t="s">
        <v>318</v>
      </c>
      <c r="E72" s="62" t="s">
        <v>246</v>
      </c>
      <c r="G72" s="61" t="s">
        <v>319</v>
      </c>
      <c r="H72" s="65" t="s">
        <v>318</v>
      </c>
      <c r="I72" s="65" t="s">
        <v>319</v>
      </c>
      <c r="J72" s="65" t="s">
        <v>318</v>
      </c>
      <c r="K72" s="65" t="s">
        <v>319</v>
      </c>
      <c r="L72" s="176" t="s">
        <v>318</v>
      </c>
      <c r="M72" s="210" t="s">
        <v>319</v>
      </c>
      <c r="N72" s="210" t="s">
        <v>318</v>
      </c>
      <c r="O72" s="61" t="s">
        <v>319</v>
      </c>
      <c r="P72" s="65" t="s">
        <v>318</v>
      </c>
      <c r="Q72" s="65" t="s">
        <v>319</v>
      </c>
      <c r="R72" s="65" t="s">
        <v>318</v>
      </c>
      <c r="S72" s="65" t="s">
        <v>319</v>
      </c>
      <c r="T72" s="176" t="s">
        <v>318</v>
      </c>
      <c r="U72" s="210" t="s">
        <v>319</v>
      </c>
      <c r="V72" s="210" t="s">
        <v>318</v>
      </c>
      <c r="W72" s="61" t="s">
        <v>319</v>
      </c>
      <c r="X72" s="65" t="s">
        <v>318</v>
      </c>
      <c r="Y72" s="65" t="s">
        <v>319</v>
      </c>
      <c r="Z72" s="65" t="s">
        <v>318</v>
      </c>
      <c r="AA72" s="65" t="s">
        <v>319</v>
      </c>
      <c r="AB72" s="176" t="s">
        <v>318</v>
      </c>
      <c r="AC72" s="210" t="s">
        <v>319</v>
      </c>
      <c r="AD72" s="210" t="s">
        <v>318</v>
      </c>
      <c r="AE72" s="61" t="s">
        <v>319</v>
      </c>
      <c r="AF72" s="65" t="s">
        <v>318</v>
      </c>
      <c r="AG72" s="65" t="s">
        <v>319</v>
      </c>
      <c r="AH72" s="65" t="s">
        <v>318</v>
      </c>
      <c r="AI72" s="65" t="s">
        <v>319</v>
      </c>
      <c r="AJ72" s="176" t="s">
        <v>318</v>
      </c>
      <c r="AK72" s="210" t="s">
        <v>319</v>
      </c>
      <c r="AL72" s="210" t="s">
        <v>318</v>
      </c>
    </row>
    <row r="73" spans="1:38" ht="13.5" thickBot="1" x14ac:dyDescent="0.25">
      <c r="A73" s="90" t="s">
        <v>249</v>
      </c>
      <c r="B73" s="72">
        <f>COUNTIF(РПЗ!$R:$R,Справочно!$E16)</f>
        <v>122</v>
      </c>
      <c r="C73" s="472">
        <f>B73/$B$13</f>
        <v>0.65591397849462363</v>
      </c>
      <c r="D73" s="428">
        <f>SUMIF(РПЗ!$R:$R,Справочно!$E16,РПЗ!$L:$L)</f>
        <v>301010431.53999996</v>
      </c>
      <c r="E73" s="472">
        <f>D73/$D$13</f>
        <v>0.69666270290134336</v>
      </c>
      <c r="G73" s="226">
        <f>COUNTIFS(РПЗ!$R:$R,Справочно!$E16,РПЗ!$O:$O,ПП!$G$14)</f>
        <v>0</v>
      </c>
      <c r="H73" s="434">
        <f>SUMIFS(РПЗ!$L:$L,РПЗ!$R:$R,Справочно!$E16,РПЗ!$O:$O,ПП!$G$14)</f>
        <v>0</v>
      </c>
      <c r="I73" s="202">
        <f>COUNTIFS(РПЗ!$R:$R,Справочно!$E16,РПЗ!$O:$O,ПП!$I$14)</f>
        <v>0</v>
      </c>
      <c r="J73" s="434">
        <f>SUMIFS(РПЗ!$L:$L,РПЗ!$R:$R,Справочно!$E16,РПЗ!$O:$O,ПП!$I$14)</f>
        <v>0</v>
      </c>
      <c r="K73" s="202">
        <f>COUNTIFS(РПЗ!$R:$R,Справочно!$E16,РПЗ!$O:$O,ПП!$K$14)</f>
        <v>0</v>
      </c>
      <c r="L73" s="468">
        <f>SUMIFS(РПЗ!$L:$L,РПЗ!$R:$R,Справочно!$E16,РПЗ!$O:$O,ПП!$K$14)</f>
        <v>0</v>
      </c>
      <c r="M73" s="229">
        <f>SUM($G73,$I73,$K73)</f>
        <v>0</v>
      </c>
      <c r="N73" s="396">
        <f>SUM($H73,$J73,$L73)</f>
        <v>0</v>
      </c>
      <c r="O73" s="230">
        <f>COUNTIFS(РПЗ!$R:$R,Справочно!$E16,РПЗ!$O:$O,ПП!$O$14)</f>
        <v>0</v>
      </c>
      <c r="P73" s="436">
        <f>SUMIFS(РПЗ!$L:$L,РПЗ!$R:$R,Справочно!$E16,РПЗ!$O:$O,ПП!$O$14)</f>
        <v>0</v>
      </c>
      <c r="Q73" s="189">
        <f>COUNTIFS(РПЗ!$R:$R,Справочно!$E16,РПЗ!$O:$O,ПП!$Q$14)</f>
        <v>0</v>
      </c>
      <c r="R73" s="436">
        <f>SUMIFS(РПЗ!$L:$L,РПЗ!$R:$R,Справочно!$E16,РПЗ!$O:$O,ПП!$Q$14)</f>
        <v>0</v>
      </c>
      <c r="S73" s="189">
        <f>COUNTIFS(РПЗ!$R:$R,Справочно!$E16,РПЗ!$O:$O,ПП!$S$14)</f>
        <v>0</v>
      </c>
      <c r="T73" s="469">
        <f>SUMIFS(РПЗ!$L:$L,РПЗ!$R:$R,Справочно!$E16,РПЗ!$O:$O,ПП!$S$14)</f>
        <v>0</v>
      </c>
      <c r="U73" s="233">
        <f>SUM($O73,$Q73,$S73)</f>
        <v>0</v>
      </c>
      <c r="V73" s="399">
        <f>SUM($P73,$R73,$T73)</f>
        <v>0</v>
      </c>
      <c r="W73" s="235">
        <f>COUNTIFS(РПЗ!$R:$R,Справочно!$E16,РПЗ!$O:$O,ПП!$W$14)</f>
        <v>0</v>
      </c>
      <c r="X73" s="438">
        <f>SUMIFS(РПЗ!$L:$L,РПЗ!$R:$R,Справочно!$E16,РПЗ!$O:$O,ПП!$W$14)</f>
        <v>0</v>
      </c>
      <c r="Y73" s="221">
        <f>COUNTIFS(РПЗ!$R:$R,Справочно!$E16,РПЗ!$O:$O,ПП!$Y$14)</f>
        <v>0</v>
      </c>
      <c r="Z73" s="438">
        <f>SUMIFS(РПЗ!$L:$L,РПЗ!$R:$R,Справочно!$E16,РПЗ!$O:$O,ПП!$Y$14)</f>
        <v>0</v>
      </c>
      <c r="AA73" s="221">
        <f>COUNTIFS(РПЗ!$R:$R,Справочно!$E16,РПЗ!$O:$O,ПП!$AA$14)</f>
        <v>0</v>
      </c>
      <c r="AB73" s="439">
        <f>SUMIFS(РПЗ!$L:$L,РПЗ!$R:$R,Справочно!$E16,РПЗ!$O:$O,ПП!$AA$14)</f>
        <v>0</v>
      </c>
      <c r="AC73" s="234">
        <f>SUM($W73,$Y73,$AA73)</f>
        <v>0</v>
      </c>
      <c r="AD73" s="402">
        <f>SUM($X73,$Z73,$AB73)</f>
        <v>0</v>
      </c>
      <c r="AE73" s="239">
        <f>COUNTIFS(РПЗ!$R:$R,Справочно!$E16,РПЗ!$O:$O,ПП!$AE$14)</f>
        <v>0</v>
      </c>
      <c r="AF73" s="440">
        <f>SUMIFS(РПЗ!$L:$L,РПЗ!$R:$R,Справочно!$E16,РПЗ!$O:$O,ПП!$AE$14)</f>
        <v>0</v>
      </c>
      <c r="AG73" s="216">
        <f>COUNTIFS(РПЗ!$R:$R,Справочно!$E16,РПЗ!$O:$O,ПП!$AG$14)</f>
        <v>0</v>
      </c>
      <c r="AH73" s="440">
        <f>SUMIFS(РПЗ!$L:$L,РПЗ!$R:$R,Справочно!$E16,РПЗ!$O:$O,ПП!$AG$14)</f>
        <v>0</v>
      </c>
      <c r="AI73" s="216">
        <f>COUNTIFS(РПЗ!$R:$R,Справочно!$E16,РПЗ!$O:$O,ПП!$AI$14)</f>
        <v>0</v>
      </c>
      <c r="AJ73" s="441">
        <f>SUMIFS(РПЗ!$L:$L,РПЗ!$R:$R,Справочно!$E16,РПЗ!$O:$O,ПП!$AI$14)</f>
        <v>0</v>
      </c>
      <c r="AK73" s="238">
        <f>SUM($AE73,$AG73,$AI73)</f>
        <v>0</v>
      </c>
      <c r="AL73" s="405">
        <f>SUM($AF73,$AH73,$AJ73)</f>
        <v>0</v>
      </c>
    </row>
    <row r="74" spans="1:38" ht="13.5" thickBot="1" x14ac:dyDescent="0.25">
      <c r="A74" s="91" t="s">
        <v>1302</v>
      </c>
      <c r="B74" s="89">
        <f>COUNTIF(РПЗ!$R:$R,Справочно!$E17)</f>
        <v>77</v>
      </c>
      <c r="C74" s="431">
        <f>B74/$B$13</f>
        <v>0.41397849462365593</v>
      </c>
      <c r="D74" s="428">
        <f>SUMIF(РПЗ!$R:$R,Справочно!$E17,РПЗ!$L:$L)</f>
        <v>127591016.57000001</v>
      </c>
      <c r="E74" s="427">
        <f>D74/$D$13</f>
        <v>0.29529841213418007</v>
      </c>
      <c r="G74" s="227">
        <f>COUNTIFS(РПЗ!$R:$R,Справочно!$E17,РПЗ!$O:$O,ПП!$G$14)</f>
        <v>0</v>
      </c>
      <c r="H74" s="456">
        <f>SUMIFS(РПЗ!$L:$L,РПЗ!$R:$R,Справочно!$E17,РПЗ!$O:$O,ПП!$G$14)</f>
        <v>0</v>
      </c>
      <c r="I74" s="205">
        <f>COUNTIFS(РПЗ!$R:$R,Справочно!$E17,РПЗ!$O:$O,ПП!$I$14)</f>
        <v>0</v>
      </c>
      <c r="J74" s="456">
        <f>SUMIFS(РПЗ!$L:$L,РПЗ!$R:$R,Справочно!$E17,РПЗ!$O:$O,ПП!$I$14)</f>
        <v>0</v>
      </c>
      <c r="K74" s="205">
        <f>COUNTIFS(РПЗ!$R:$R,Справочно!$E17,РПЗ!$O:$O,ПП!$K$14)</f>
        <v>0</v>
      </c>
      <c r="L74" s="470">
        <f>SUMIFS(РПЗ!$L:$L,РПЗ!$R:$R,Справочно!$E17,РПЗ!$O:$O,ПП!$K$14)</f>
        <v>0</v>
      </c>
      <c r="M74" s="229">
        <f>SUM($G74,$I74,$K74)</f>
        <v>0</v>
      </c>
      <c r="N74" s="396">
        <f>SUM($H74,$J74,$L74)</f>
        <v>0</v>
      </c>
      <c r="O74" s="232">
        <f>COUNTIFS(РПЗ!$R:$R,Справочно!$E17,РПЗ!$O:$O,ПП!$O$14)</f>
        <v>0</v>
      </c>
      <c r="P74" s="458">
        <f>SUMIFS(РПЗ!$L:$L,РПЗ!$R:$R,Справочно!$E17,РПЗ!$O:$O,ПП!$O$14)</f>
        <v>0</v>
      </c>
      <c r="Q74" s="224">
        <f>COUNTIFS(РПЗ!$R:$R,Справочно!$E17,РПЗ!$O:$O,ПП!$Q$14)</f>
        <v>0</v>
      </c>
      <c r="R74" s="458">
        <f>SUMIFS(РПЗ!$L:$L,РПЗ!$R:$R,Справочно!$E17,РПЗ!$O:$O,ПП!$Q$14)</f>
        <v>0</v>
      </c>
      <c r="S74" s="224">
        <f>COUNTIFS(РПЗ!$R:$R,Справочно!$E17,РПЗ!$O:$O,ПП!$S$14)</f>
        <v>0</v>
      </c>
      <c r="T74" s="471">
        <f>SUMIFS(РПЗ!$L:$L,РПЗ!$R:$R,Справочно!$E17,РПЗ!$O:$O,ПП!$S$14)</f>
        <v>0</v>
      </c>
      <c r="U74" s="233">
        <f>SUM($O74,$Q74,$S74)</f>
        <v>0</v>
      </c>
      <c r="V74" s="399">
        <f>SUM($P74,$R74,$T74)</f>
        <v>0</v>
      </c>
      <c r="W74" s="237">
        <f>COUNTIFS(РПЗ!$R:$R,Справочно!$E17,РПЗ!$O:$O,ПП!$W$14)</f>
        <v>0</v>
      </c>
      <c r="X74" s="460">
        <f>SUMIFS(РПЗ!$L:$L,РПЗ!$R:$R,Справочно!$E17,РПЗ!$O:$O,ПП!$W$14)</f>
        <v>0</v>
      </c>
      <c r="Y74" s="222">
        <f>COUNTIFS(РПЗ!$R:$R,Справочно!$E17,РПЗ!$O:$O,ПП!$Y$14)</f>
        <v>0</v>
      </c>
      <c r="Z74" s="460">
        <f>SUMIFS(РПЗ!$L:$L,РПЗ!$R:$R,Справочно!$E17,РПЗ!$O:$O,ПП!$Y$14)</f>
        <v>0</v>
      </c>
      <c r="AA74" s="222">
        <f>COUNTIFS(РПЗ!$R:$R,Справочно!$E17,РПЗ!$O:$O,ПП!$AA$14)</f>
        <v>0</v>
      </c>
      <c r="AB74" s="461">
        <f>SUMIFS(РПЗ!$L:$L,РПЗ!$R:$R,Справочно!$E17,РПЗ!$O:$O,ПП!$AA$14)</f>
        <v>0</v>
      </c>
      <c r="AC74" s="234">
        <f>SUM($W74,$Y74,$AA74)</f>
        <v>0</v>
      </c>
      <c r="AD74" s="402">
        <f>SUM($X74,$Z74,$AB74)</f>
        <v>0</v>
      </c>
      <c r="AE74" s="240">
        <f>COUNTIFS(РПЗ!$R:$R,Справочно!$E17,РПЗ!$O:$O,ПП!$AE$14)</f>
        <v>0</v>
      </c>
      <c r="AF74" s="462">
        <f>SUMIFS(РПЗ!$L:$L,РПЗ!$R:$R,Справочно!$E17,РПЗ!$O:$O,ПП!$AE$14)</f>
        <v>0</v>
      </c>
      <c r="AG74" s="218">
        <f>COUNTIFS(РПЗ!$R:$R,Справочно!$E17,РПЗ!$O:$O,ПП!$AG$14)</f>
        <v>0</v>
      </c>
      <c r="AH74" s="462">
        <f>SUMIFS(РПЗ!$L:$L,РПЗ!$R:$R,Справочно!$E17,РПЗ!$O:$O,ПП!$AG$14)</f>
        <v>0</v>
      </c>
      <c r="AI74" s="218">
        <f>COUNTIFS(РПЗ!$R:$R,Справочно!$E17,РПЗ!$O:$O,ПП!$AI$14)</f>
        <v>0</v>
      </c>
      <c r="AJ74" s="463">
        <f>SUMIFS(РПЗ!$L:$L,РПЗ!$R:$R,Справочно!$E17,РПЗ!$O:$O,ПП!$AI$14)</f>
        <v>0</v>
      </c>
      <c r="AK74" s="238">
        <f>SUM($AE74,$AG74,$AI74)</f>
        <v>0</v>
      </c>
      <c r="AL74" s="405">
        <f>SUM($AF74,$AH74,$AJ74)</f>
        <v>0</v>
      </c>
    </row>
    <row r="75" spans="1:38" ht="13.5" thickBot="1" x14ac:dyDescent="0.25">
      <c r="A75" s="73" t="s">
        <v>263</v>
      </c>
      <c r="B75" s="483">
        <f>B73+B74</f>
        <v>199</v>
      </c>
      <c r="C75" s="486">
        <f>C73+C74</f>
        <v>1.0698924731182795</v>
      </c>
      <c r="D75" s="475">
        <f t="shared" ref="D75:E75" si="51">D73+D74</f>
        <v>428601448.10999995</v>
      </c>
      <c r="E75" s="486">
        <f t="shared" si="51"/>
        <v>0.99196111503552342</v>
      </c>
      <c r="G75" s="88">
        <f>G73+G74</f>
        <v>0</v>
      </c>
      <c r="H75" s="411">
        <f t="shared" ref="H75" si="52">H73+H74</f>
        <v>0</v>
      </c>
      <c r="I75" s="174">
        <f>I73+I74</f>
        <v>0</v>
      </c>
      <c r="J75" s="411">
        <f t="shared" ref="J75" si="53">J73+J74</f>
        <v>0</v>
      </c>
      <c r="K75" s="174">
        <f>K73+K74</f>
        <v>0</v>
      </c>
      <c r="L75" s="417">
        <f t="shared" ref="L75" si="54">L73+L74</f>
        <v>0</v>
      </c>
      <c r="M75" s="215">
        <f>M73+M74</f>
        <v>0</v>
      </c>
      <c r="N75" s="413">
        <f t="shared" ref="N75" si="55">N73+N74</f>
        <v>0</v>
      </c>
      <c r="O75" s="88">
        <f>O73+O74</f>
        <v>0</v>
      </c>
      <c r="P75" s="411">
        <f t="shared" ref="P75" si="56">P73+P74</f>
        <v>0</v>
      </c>
      <c r="Q75" s="174">
        <f>Q73+Q74</f>
        <v>0</v>
      </c>
      <c r="R75" s="411">
        <f t="shared" ref="R75" si="57">R73+R74</f>
        <v>0</v>
      </c>
      <c r="S75" s="174">
        <f>S73+S74</f>
        <v>0</v>
      </c>
      <c r="T75" s="417">
        <f t="shared" ref="T75" si="58">T73+T74</f>
        <v>0</v>
      </c>
      <c r="U75" s="215">
        <f>U73+U74</f>
        <v>0</v>
      </c>
      <c r="V75" s="413">
        <f t="shared" ref="V75" si="59">V73+V74</f>
        <v>0</v>
      </c>
      <c r="W75" s="88">
        <f>W73+W74</f>
        <v>0</v>
      </c>
      <c r="X75" s="411">
        <f t="shared" ref="X75" si="60">X73+X74</f>
        <v>0</v>
      </c>
      <c r="Y75" s="174">
        <f>Y73+Y74</f>
        <v>0</v>
      </c>
      <c r="Z75" s="411">
        <f t="shared" ref="Z75" si="61">Z73+Z74</f>
        <v>0</v>
      </c>
      <c r="AA75" s="174">
        <f>AA73+AA74</f>
        <v>0</v>
      </c>
      <c r="AB75" s="417">
        <f t="shared" ref="AB75" si="62">AB73+AB74</f>
        <v>0</v>
      </c>
      <c r="AC75" s="215">
        <f>AC73+AC74</f>
        <v>0</v>
      </c>
      <c r="AD75" s="413">
        <f t="shared" ref="AD75" si="63">AD73+AD74</f>
        <v>0</v>
      </c>
      <c r="AE75" s="88">
        <f>AE73+AE74</f>
        <v>0</v>
      </c>
      <c r="AF75" s="411">
        <f t="shared" ref="AF75" si="64">AF73+AF74</f>
        <v>0</v>
      </c>
      <c r="AG75" s="174">
        <f>AG73+AG74</f>
        <v>0</v>
      </c>
      <c r="AH75" s="411">
        <f t="shared" ref="AH75" si="65">AH73+AH74</f>
        <v>0</v>
      </c>
      <c r="AI75" s="174">
        <f>AI73+AI74</f>
        <v>0</v>
      </c>
      <c r="AJ75" s="417">
        <f t="shared" ref="AJ75" si="66">AJ73+AJ74</f>
        <v>0</v>
      </c>
      <c r="AK75" s="215">
        <f>AK73+AK74</f>
        <v>0</v>
      </c>
      <c r="AL75" s="413">
        <f t="shared" ref="AL75" si="67">AL73+AL74</f>
        <v>0</v>
      </c>
    </row>
    <row r="77" spans="1:38" ht="13.5" thickBot="1" x14ac:dyDescent="0.25"/>
    <row r="78" spans="1:38" ht="26.25" customHeight="1" thickBot="1" x14ac:dyDescent="0.25">
      <c r="A78" s="745" t="s">
        <v>1304</v>
      </c>
      <c r="B78" s="746"/>
    </row>
    <row r="79" spans="1:38" ht="13.5" thickBot="1" x14ac:dyDescent="0.25">
      <c r="A79" s="106" t="s">
        <v>261</v>
      </c>
      <c r="B79" s="107">
        <f>COUNTIF(РПЗ!$Q:$Q,Справочно!$C32)</f>
        <v>0</v>
      </c>
    </row>
  </sheetData>
  <mergeCells count="31">
    <mergeCell ref="AE12:AL13"/>
    <mergeCell ref="AE14:AF14"/>
    <mergeCell ref="AG14:AH14"/>
    <mergeCell ref="AI14:AJ14"/>
    <mergeCell ref="AK14:AL14"/>
    <mergeCell ref="W12:AD13"/>
    <mergeCell ref="W14:X14"/>
    <mergeCell ref="Y14:Z14"/>
    <mergeCell ref="AA14:AB14"/>
    <mergeCell ref="AC14:AD14"/>
    <mergeCell ref="O12:V13"/>
    <mergeCell ref="O14:P14"/>
    <mergeCell ref="Q14:R14"/>
    <mergeCell ref="S14:T14"/>
    <mergeCell ref="U14:V14"/>
    <mergeCell ref="A42:E42"/>
    <mergeCell ref="A71:E71"/>
    <mergeCell ref="A78:B78"/>
    <mergeCell ref="A2:P2"/>
    <mergeCell ref="G14:H14"/>
    <mergeCell ref="I14:J14"/>
    <mergeCell ref="K14:L14"/>
    <mergeCell ref="M14:N14"/>
    <mergeCell ref="G12:N13"/>
    <mergeCell ref="B10:C10"/>
    <mergeCell ref="B4:C4"/>
    <mergeCell ref="B5:C5"/>
    <mergeCell ref="B6:C6"/>
    <mergeCell ref="B7:C7"/>
    <mergeCell ref="B8:C8"/>
    <mergeCell ref="B9:C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O226"/>
  <sheetViews>
    <sheetView topLeftCell="A215" zoomScale="85" zoomScaleNormal="85" workbookViewId="0">
      <selection activeCell="AH85" sqref="AH85"/>
    </sheetView>
  </sheetViews>
  <sheetFormatPr defaultRowHeight="15" x14ac:dyDescent="0.25"/>
  <cols>
    <col min="1" max="1" width="19.140625" customWidth="1"/>
    <col min="2" max="2" width="33.85546875" customWidth="1"/>
    <col min="3" max="3" width="27.42578125" customWidth="1"/>
    <col min="4" max="4" width="34.28515625" customWidth="1"/>
    <col min="5" max="5" width="24" customWidth="1"/>
    <col min="6" max="8" width="11.42578125" customWidth="1"/>
    <col min="9" max="11" width="14.85546875" customWidth="1"/>
    <col min="12" max="12" width="14" customWidth="1"/>
    <col min="13" max="13" width="15.28515625" customWidth="1"/>
    <col min="14" max="14" width="14.140625" customWidth="1"/>
    <col min="15" max="20" width="12.42578125" customWidth="1"/>
    <col min="21" max="21" width="18.7109375" customWidth="1"/>
    <col min="22" max="22" width="15.140625" customWidth="1"/>
    <col min="23" max="23" width="24.42578125" customWidth="1"/>
    <col min="24" max="25" width="14.42578125" customWidth="1"/>
    <col min="26" max="26" width="25.5703125" customWidth="1"/>
    <col min="27" max="27" width="17.5703125" customWidth="1"/>
    <col min="28" max="28" width="20.5703125" customWidth="1"/>
    <col min="29" max="29" width="17.140625" customWidth="1"/>
    <col min="30" max="30" width="15.5703125" customWidth="1"/>
    <col min="31" max="31" width="13.28515625" customWidth="1"/>
    <col min="32" max="32" width="8.140625" customWidth="1"/>
    <col min="33" max="33" width="26.140625" customWidth="1"/>
    <col min="34" max="34" width="19" customWidth="1"/>
    <col min="35" max="35" width="14.42578125" customWidth="1"/>
    <col min="36" max="36" width="16.28515625" customWidth="1"/>
    <col min="37" max="37" width="15.7109375" customWidth="1"/>
    <col min="38" max="38" width="15.42578125" customWidth="1"/>
    <col min="39" max="40" width="20.85546875" customWidth="1"/>
    <col min="41" max="41" width="0.5703125" customWidth="1"/>
    <col min="42" max="42" width="10.140625" customWidth="1"/>
  </cols>
  <sheetData>
    <row r="1" spans="1:41" ht="21.75" customHeight="1" x14ac:dyDescent="0.25">
      <c r="B1" s="14"/>
      <c r="C1" s="14"/>
      <c r="D1" s="14"/>
      <c r="E1" s="14"/>
      <c r="F1" s="14"/>
      <c r="G1" s="700" t="s">
        <v>301</v>
      </c>
      <c r="H1" s="700"/>
      <c r="I1" s="700"/>
      <c r="J1" s="700"/>
      <c r="K1" s="700"/>
      <c r="L1" s="700"/>
      <c r="M1" s="700"/>
      <c r="N1" s="700"/>
      <c r="O1" s="14"/>
      <c r="P1" s="14"/>
      <c r="Q1" s="14"/>
      <c r="R1" s="14"/>
      <c r="S1" s="14"/>
      <c r="T1" s="14"/>
      <c r="U1" s="14"/>
      <c r="V1" s="14"/>
      <c r="W1" s="700"/>
      <c r="X1" s="700"/>
      <c r="Y1" s="700"/>
      <c r="Z1" s="700"/>
      <c r="AA1" s="700"/>
      <c r="AB1" s="700"/>
      <c r="AC1" s="700"/>
      <c r="AD1" s="54"/>
      <c r="AE1" s="54"/>
      <c r="AF1" s="163"/>
      <c r="AG1" s="54"/>
      <c r="AH1" s="54"/>
      <c r="AI1" s="54"/>
      <c r="AJ1" s="21"/>
      <c r="AK1" s="21"/>
      <c r="AL1" s="19"/>
      <c r="AM1" s="54"/>
      <c r="AN1" s="374"/>
    </row>
    <row r="2" spans="1:41" ht="15.75" thickBot="1" x14ac:dyDescent="0.3">
      <c r="A2" s="14"/>
      <c r="B2" s="14"/>
      <c r="C2" s="14"/>
      <c r="D2" s="14"/>
      <c r="E2" s="14"/>
      <c r="F2" s="14"/>
      <c r="G2" s="247"/>
      <c r="H2" s="247"/>
      <c r="I2" s="244"/>
      <c r="J2" s="335"/>
      <c r="K2" s="335"/>
      <c r="L2" s="175" t="s">
        <v>348</v>
      </c>
      <c r="M2" s="244"/>
      <c r="N2" s="14" t="s">
        <v>349</v>
      </c>
      <c r="O2" s="14"/>
      <c r="P2" s="14"/>
      <c r="Q2" s="14"/>
      <c r="R2" s="14"/>
      <c r="S2" s="14"/>
      <c r="T2" s="14"/>
      <c r="U2" s="14"/>
      <c r="V2" s="14"/>
      <c r="W2" s="700"/>
      <c r="X2" s="700"/>
      <c r="Y2" s="700"/>
      <c r="Z2" s="700"/>
      <c r="AA2" s="700"/>
      <c r="AB2" s="700"/>
      <c r="AC2" s="700"/>
      <c r="AD2" s="54"/>
      <c r="AE2" s="54"/>
      <c r="AF2" s="163"/>
      <c r="AG2" s="54"/>
      <c r="AH2" s="54"/>
      <c r="AI2" s="54"/>
      <c r="AJ2" s="21"/>
      <c r="AK2" s="21"/>
      <c r="AL2" s="19"/>
      <c r="AM2" s="54"/>
      <c r="AN2" s="374"/>
    </row>
    <row r="3" spans="1:41" ht="38.25" x14ac:dyDescent="0.25">
      <c r="A3" s="153" t="s">
        <v>1</v>
      </c>
      <c r="B3" s="372" t="str">
        <f>РПЗ!B4</f>
        <v>Акционерное общество «Научно-производственное объединение «Импульс»</v>
      </c>
      <c r="C3" s="54"/>
      <c r="D3" s="54"/>
      <c r="E3" s="54"/>
      <c r="F3" s="20"/>
      <c r="G3" s="20"/>
      <c r="H3" s="20"/>
      <c r="I3" s="3"/>
      <c r="J3" s="312"/>
      <c r="K3" s="312"/>
      <c r="L3" s="3"/>
      <c r="M3" s="3"/>
      <c r="N3" s="3"/>
      <c r="O3" s="24"/>
      <c r="P3" s="3"/>
      <c r="Q3" s="3"/>
      <c r="R3" s="3"/>
      <c r="S3" s="3"/>
      <c r="T3" s="54"/>
      <c r="U3" s="3"/>
      <c r="V3" s="3"/>
      <c r="W3" s="3"/>
      <c r="X3" s="54"/>
      <c r="Y3" s="54"/>
      <c r="Z3" s="21"/>
      <c r="AA3" s="24"/>
      <c r="AB3" s="3"/>
      <c r="AC3" s="3"/>
      <c r="AD3" s="54"/>
      <c r="AE3" s="54"/>
      <c r="AF3" s="163"/>
      <c r="AG3" s="54"/>
      <c r="AH3" s="54"/>
      <c r="AI3" s="54"/>
      <c r="AJ3" s="21"/>
      <c r="AK3" s="21"/>
      <c r="AL3" s="19"/>
      <c r="AM3" s="54"/>
      <c r="AN3" s="374"/>
    </row>
    <row r="4" spans="1:41" ht="38.25" x14ac:dyDescent="0.25">
      <c r="A4" s="154" t="s">
        <v>2</v>
      </c>
      <c r="B4" s="15" t="str">
        <f>РПЗ!B5</f>
        <v>Российская Федерация, 195220, Санкт-Петербург, ул. Обручевых, д.1</v>
      </c>
      <c r="C4" s="54"/>
      <c r="D4" s="54"/>
      <c r="E4" s="54"/>
      <c r="F4" s="20"/>
      <c r="G4" s="20"/>
      <c r="H4" s="20"/>
      <c r="I4" s="3"/>
      <c r="J4" s="312"/>
      <c r="K4" s="312"/>
      <c r="L4" s="3"/>
      <c r="M4" s="3"/>
      <c r="N4" s="3"/>
      <c r="O4" s="24"/>
      <c r="P4" s="3"/>
      <c r="Q4" s="3"/>
      <c r="R4" s="3"/>
      <c r="S4" s="3"/>
      <c r="T4" s="54"/>
      <c r="U4" s="3"/>
      <c r="V4" s="3"/>
      <c r="W4" s="3"/>
      <c r="X4" s="54"/>
      <c r="Y4" s="54"/>
      <c r="Z4" s="21"/>
      <c r="AA4" s="24"/>
      <c r="AB4" s="3"/>
      <c r="AC4" s="3"/>
      <c r="AD4" s="54"/>
      <c r="AE4" s="54"/>
      <c r="AF4" s="163"/>
      <c r="AG4" s="54"/>
      <c r="AH4" s="54"/>
      <c r="AI4" s="54"/>
      <c r="AJ4" s="21"/>
      <c r="AK4" s="21"/>
      <c r="AL4" s="19"/>
      <c r="AM4" s="54"/>
      <c r="AN4" s="374"/>
    </row>
    <row r="5" spans="1:41" x14ac:dyDescent="0.25">
      <c r="A5" s="154" t="s">
        <v>3</v>
      </c>
      <c r="B5" s="15" t="str">
        <f>РПЗ!B6</f>
        <v>(812)2904855</v>
      </c>
      <c r="C5" s="54"/>
      <c r="D5" s="54"/>
      <c r="E5" s="54"/>
      <c r="F5" s="20"/>
      <c r="G5" s="20"/>
      <c r="H5" s="20"/>
      <c r="I5" s="3"/>
      <c r="J5" s="312"/>
      <c r="K5" s="312"/>
      <c r="L5" s="3"/>
      <c r="M5" s="3"/>
      <c r="N5" s="3"/>
      <c r="O5" s="24"/>
      <c r="P5" s="3"/>
      <c r="Q5" s="3"/>
      <c r="R5" s="3"/>
      <c r="S5" s="3"/>
      <c r="T5" s="54"/>
      <c r="U5" s="3"/>
      <c r="V5" s="3"/>
      <c r="W5" s="3"/>
      <c r="X5" s="54"/>
      <c r="Y5" s="54"/>
      <c r="Z5" s="21"/>
      <c r="AA5" s="24"/>
      <c r="AB5" s="3"/>
      <c r="AC5" s="3"/>
      <c r="AD5" s="54"/>
      <c r="AE5" s="54"/>
      <c r="AF5" s="163"/>
      <c r="AG5" s="54"/>
      <c r="AH5" s="54"/>
      <c r="AI5" s="54"/>
      <c r="AJ5" s="21"/>
      <c r="AK5" s="21"/>
      <c r="AL5" s="19"/>
      <c r="AM5" s="54"/>
      <c r="AN5" s="374"/>
    </row>
    <row r="6" spans="1:41" ht="25.5" x14ac:dyDescent="0.25">
      <c r="A6" s="154" t="s">
        <v>4</v>
      </c>
      <c r="B6" s="15" t="str">
        <f>РПЗ!B7</f>
        <v>kanz@npoimpuls.ru</v>
      </c>
      <c r="F6" s="20"/>
      <c r="G6" s="20"/>
      <c r="H6" s="20"/>
    </row>
    <row r="7" spans="1:41" x14ac:dyDescent="0.25">
      <c r="A7" s="154" t="s">
        <v>5</v>
      </c>
      <c r="B7" s="15">
        <f>РПЗ!B8</f>
        <v>7804478424</v>
      </c>
      <c r="F7" s="20"/>
      <c r="G7" s="20"/>
      <c r="H7" s="20"/>
    </row>
    <row r="8" spans="1:41" x14ac:dyDescent="0.25">
      <c r="A8" s="154" t="s">
        <v>6</v>
      </c>
      <c r="B8" s="15">
        <f>РПЗ!B9</f>
        <v>780401001</v>
      </c>
      <c r="F8" s="20"/>
      <c r="G8" s="20"/>
      <c r="H8" s="20"/>
    </row>
    <row r="9" spans="1:41" ht="15.75" thickBot="1" x14ac:dyDescent="0.3">
      <c r="A9" s="155" t="s">
        <v>7</v>
      </c>
      <c r="B9" s="373">
        <f>РПЗ!B10</f>
        <v>40273562000</v>
      </c>
      <c r="F9" s="20"/>
      <c r="G9" s="20"/>
      <c r="H9" s="20"/>
    </row>
    <row r="10" spans="1:41" ht="39" thickBot="1" x14ac:dyDescent="0.3">
      <c r="A10" s="156" t="s">
        <v>351</v>
      </c>
      <c r="B10" s="157"/>
      <c r="F10" s="20"/>
      <c r="G10" s="20"/>
      <c r="H10" s="20"/>
    </row>
    <row r="11" spans="1:41" ht="15.75" thickBot="1" x14ac:dyDescent="0.3">
      <c r="A11" s="4"/>
      <c r="B11" s="5"/>
      <c r="F11" s="55"/>
      <c r="G11" s="5"/>
      <c r="H11" s="5"/>
    </row>
    <row r="12" spans="1:41" ht="26.25" customHeight="1" thickBot="1" x14ac:dyDescent="0.3">
      <c r="A12" s="735" t="s">
        <v>216</v>
      </c>
      <c r="B12" s="735" t="s">
        <v>217</v>
      </c>
      <c r="C12" s="735" t="s">
        <v>14</v>
      </c>
      <c r="D12" s="735" t="s">
        <v>206</v>
      </c>
      <c r="E12" s="787" t="s">
        <v>207</v>
      </c>
      <c r="F12" s="735" t="s">
        <v>220</v>
      </c>
      <c r="G12" s="702" t="s">
        <v>163</v>
      </c>
      <c r="H12" s="735" t="s">
        <v>10</v>
      </c>
      <c r="I12" s="740" t="s">
        <v>1252</v>
      </c>
      <c r="J12" s="741"/>
      <c r="K12" s="738"/>
      <c r="L12" s="717" t="s">
        <v>162</v>
      </c>
      <c r="M12" s="706" t="s">
        <v>21</v>
      </c>
      <c r="N12" s="720"/>
      <c r="O12" s="720"/>
      <c r="P12" s="720"/>
      <c r="Q12" s="720"/>
      <c r="R12" s="720"/>
      <c r="S12" s="720"/>
      <c r="T12" s="720"/>
      <c r="U12" s="720"/>
      <c r="V12" s="707"/>
      <c r="W12" s="735" t="s">
        <v>324</v>
      </c>
      <c r="X12" s="702" t="s">
        <v>226</v>
      </c>
      <c r="Y12" s="702" t="s">
        <v>227</v>
      </c>
      <c r="Z12" s="702" t="s">
        <v>210</v>
      </c>
      <c r="AA12" s="702" t="s">
        <v>211</v>
      </c>
      <c r="AB12" s="706" t="s">
        <v>160</v>
      </c>
      <c r="AC12" s="707"/>
      <c r="AD12" s="775" t="s">
        <v>229</v>
      </c>
      <c r="AE12" s="784"/>
      <c r="AF12" s="717" t="s">
        <v>329</v>
      </c>
      <c r="AG12" s="717" t="s">
        <v>228</v>
      </c>
      <c r="AH12" s="782" t="s">
        <v>222</v>
      </c>
      <c r="AI12" s="783"/>
      <c r="AJ12" s="779" t="s">
        <v>232</v>
      </c>
      <c r="AK12" s="780"/>
      <c r="AL12" s="781"/>
      <c r="AM12" s="702" t="s">
        <v>241</v>
      </c>
      <c r="AN12" s="775" t="s">
        <v>215</v>
      </c>
      <c r="AO12" s="777" t="s">
        <v>1306</v>
      </c>
    </row>
    <row r="13" spans="1:41" ht="77.25" thickBot="1" x14ac:dyDescent="0.3">
      <c r="A13" s="736"/>
      <c r="B13" s="736"/>
      <c r="C13" s="736"/>
      <c r="D13" s="736"/>
      <c r="E13" s="788"/>
      <c r="F13" s="736"/>
      <c r="G13" s="703"/>
      <c r="H13" s="736"/>
      <c r="I13" s="735" t="s">
        <v>13</v>
      </c>
      <c r="J13" s="735" t="s">
        <v>209</v>
      </c>
      <c r="K13" s="735" t="s">
        <v>26</v>
      </c>
      <c r="L13" s="719"/>
      <c r="M13" s="706" t="s">
        <v>33</v>
      </c>
      <c r="N13" s="707"/>
      <c r="O13" s="56" t="s">
        <v>729</v>
      </c>
      <c r="P13" s="706" t="s">
        <v>34</v>
      </c>
      <c r="Q13" s="707"/>
      <c r="R13" s="706" t="s">
        <v>272</v>
      </c>
      <c r="S13" s="707"/>
      <c r="T13" s="53" t="s">
        <v>221</v>
      </c>
      <c r="U13" s="706" t="s">
        <v>35</v>
      </c>
      <c r="V13" s="707"/>
      <c r="W13" s="737"/>
      <c r="X13" s="703"/>
      <c r="Y13" s="703"/>
      <c r="Z13" s="703"/>
      <c r="AA13" s="703"/>
      <c r="AB13" s="717" t="s">
        <v>273</v>
      </c>
      <c r="AC13" s="56" t="s">
        <v>35</v>
      </c>
      <c r="AD13" s="785"/>
      <c r="AE13" s="786"/>
      <c r="AF13" s="718"/>
      <c r="AG13" s="718"/>
      <c r="AH13" s="272" t="s">
        <v>223</v>
      </c>
      <c r="AI13" s="272" t="s">
        <v>224</v>
      </c>
      <c r="AJ13" s="23" t="s">
        <v>164</v>
      </c>
      <c r="AK13" s="23" t="s">
        <v>165</v>
      </c>
      <c r="AL13" s="23" t="s">
        <v>166</v>
      </c>
      <c r="AM13" s="722"/>
      <c r="AN13" s="776"/>
      <c r="AO13" s="778"/>
    </row>
    <row r="14" spans="1:41" ht="39" thickBot="1" x14ac:dyDescent="0.3">
      <c r="A14" s="736"/>
      <c r="B14" s="736"/>
      <c r="C14" s="736"/>
      <c r="D14" s="736"/>
      <c r="E14" s="788"/>
      <c r="F14" s="736"/>
      <c r="G14" s="703"/>
      <c r="H14" s="736"/>
      <c r="I14" s="737"/>
      <c r="J14" s="737"/>
      <c r="K14" s="737"/>
      <c r="L14" s="9" t="s">
        <v>36</v>
      </c>
      <c r="M14" s="2" t="s">
        <v>37</v>
      </c>
      <c r="N14" s="10" t="s">
        <v>317</v>
      </c>
      <c r="O14" s="10" t="s">
        <v>38</v>
      </c>
      <c r="P14" s="10" t="s">
        <v>39</v>
      </c>
      <c r="Q14" s="10" t="s">
        <v>38</v>
      </c>
      <c r="R14" s="10" t="s">
        <v>39</v>
      </c>
      <c r="S14" s="10" t="s">
        <v>38</v>
      </c>
      <c r="T14" s="10" t="s">
        <v>38</v>
      </c>
      <c r="U14" s="22" t="s">
        <v>37</v>
      </c>
      <c r="V14" s="10" t="s">
        <v>275</v>
      </c>
      <c r="W14" s="2" t="s">
        <v>40</v>
      </c>
      <c r="X14" s="703"/>
      <c r="Y14" s="703"/>
      <c r="Z14" s="703"/>
      <c r="AA14" s="703"/>
      <c r="AB14" s="718"/>
      <c r="AC14" s="10" t="s">
        <v>275</v>
      </c>
      <c r="AD14" s="52" t="s">
        <v>230</v>
      </c>
      <c r="AE14" s="52" t="s">
        <v>274</v>
      </c>
      <c r="AF14" s="56" t="s">
        <v>330</v>
      </c>
      <c r="AG14" s="718"/>
      <c r="AH14" s="272" t="s">
        <v>225</v>
      </c>
      <c r="AI14" s="272" t="s">
        <v>118</v>
      </c>
      <c r="AJ14" s="723" t="s">
        <v>332</v>
      </c>
      <c r="AK14" s="724"/>
      <c r="AL14" s="727"/>
      <c r="AM14" s="57" t="s">
        <v>25</v>
      </c>
      <c r="AN14" s="776"/>
      <c r="AO14" s="778"/>
    </row>
    <row r="15" spans="1:41" s="371" customFormat="1" ht="13.5" customHeight="1" thickBot="1" x14ac:dyDescent="0.25">
      <c r="A15" s="369" t="s">
        <v>121</v>
      </c>
      <c r="B15" s="370" t="s">
        <v>122</v>
      </c>
      <c r="C15" s="370" t="s">
        <v>123</v>
      </c>
      <c r="D15" s="370" t="s">
        <v>124</v>
      </c>
      <c r="E15" s="370" t="s">
        <v>125</v>
      </c>
      <c r="F15" s="370" t="s">
        <v>126</v>
      </c>
      <c r="G15" s="370" t="s">
        <v>127</v>
      </c>
      <c r="H15" s="370" t="s">
        <v>1301</v>
      </c>
      <c r="I15" s="370" t="s">
        <v>128</v>
      </c>
      <c r="J15" s="370" t="s">
        <v>1250</v>
      </c>
      <c r="K15" s="370" t="s">
        <v>1251</v>
      </c>
      <c r="L15" s="370" t="s">
        <v>129</v>
      </c>
      <c r="M15" s="370" t="s">
        <v>130</v>
      </c>
      <c r="N15" s="370" t="s">
        <v>131</v>
      </c>
      <c r="O15" s="370" t="s">
        <v>132</v>
      </c>
      <c r="P15" s="370" t="s">
        <v>133</v>
      </c>
      <c r="Q15" s="370" t="s">
        <v>134</v>
      </c>
      <c r="R15" s="370" t="s">
        <v>135</v>
      </c>
      <c r="S15" s="370" t="s">
        <v>136</v>
      </c>
      <c r="T15" s="370" t="s">
        <v>137</v>
      </c>
      <c r="U15" s="370" t="s">
        <v>138</v>
      </c>
      <c r="V15" s="370" t="s">
        <v>139</v>
      </c>
      <c r="W15" s="370" t="s">
        <v>140</v>
      </c>
      <c r="X15" s="370" t="s">
        <v>141</v>
      </c>
      <c r="Y15" s="370" t="s">
        <v>142</v>
      </c>
      <c r="Z15" s="370" t="s">
        <v>218</v>
      </c>
      <c r="AA15" s="370" t="s">
        <v>219</v>
      </c>
      <c r="AB15" s="370" t="s">
        <v>331</v>
      </c>
      <c r="AC15" s="370" t="s">
        <v>153</v>
      </c>
      <c r="AD15" s="370" t="s">
        <v>154</v>
      </c>
      <c r="AE15" s="370" t="s">
        <v>155</v>
      </c>
      <c r="AF15" s="370" t="s">
        <v>234</v>
      </c>
      <c r="AG15" s="370" t="s">
        <v>157</v>
      </c>
      <c r="AH15" s="370" t="s">
        <v>235</v>
      </c>
      <c r="AI15" s="370" t="s">
        <v>233</v>
      </c>
      <c r="AJ15" s="370" t="s">
        <v>236</v>
      </c>
      <c r="AK15" s="370" t="s">
        <v>237</v>
      </c>
      <c r="AL15" s="370" t="s">
        <v>238</v>
      </c>
      <c r="AM15" s="370" t="s">
        <v>239</v>
      </c>
      <c r="AN15" s="370" t="s">
        <v>240</v>
      </c>
      <c r="AO15" s="376" t="s">
        <v>1297</v>
      </c>
    </row>
    <row r="16" spans="1:41" ht="80.099999999999994" customHeight="1" thickBot="1" x14ac:dyDescent="0.3">
      <c r="A16" s="282" t="str">
        <f t="shared" ref="A16:A79" si="0">INDEX(Диапазон1,ROW(), COLUMN())</f>
        <v>0645-00001</v>
      </c>
      <c r="B16" s="15" t="str">
        <f>РПЗ!$D16</f>
        <v>0645-00001. Оказание услуг по приему, хранению, перевозке и доставке пакетов</v>
      </c>
      <c r="C16" s="15" t="str">
        <f>РПЗ!$AA16</f>
        <v>1 отдел     Колищук</v>
      </c>
      <c r="D16" s="15" t="str">
        <f>РПЗ!$AB16</f>
        <v>Заказчик</v>
      </c>
      <c r="E16" s="100"/>
      <c r="F16" s="15" t="str">
        <f>РПЗ!Q16</f>
        <v>ЕП</v>
      </c>
      <c r="G16" s="16"/>
      <c r="H16" s="15" t="str">
        <f>РПЗ!R16</f>
        <v>Нет</v>
      </c>
      <c r="I16" s="15" t="str">
        <f>РПЗ!W16</f>
        <v>6.6.2(4)</v>
      </c>
      <c r="J16" s="15">
        <f>РПЗ!X16</f>
        <v>7717043113</v>
      </c>
      <c r="K16" s="336">
        <f>РПЗ!Z16</f>
        <v>2000000</v>
      </c>
      <c r="L16" s="17"/>
      <c r="M16" s="18">
        <f>РПЗ!O16</f>
        <v>42736</v>
      </c>
      <c r="N16" s="289"/>
      <c r="O16" s="17"/>
      <c r="P16" s="17"/>
      <c r="Q16" s="17"/>
      <c r="R16" s="17"/>
      <c r="S16" s="17"/>
      <c r="T16" s="17"/>
      <c r="U16" s="18">
        <f>РПЗ!P16</f>
        <v>43070</v>
      </c>
      <c r="V16" s="17"/>
      <c r="W16" s="285">
        <f>РПЗ!L16</f>
        <v>2000000</v>
      </c>
      <c r="X16" s="286"/>
      <c r="Y16" s="286"/>
      <c r="Z16" s="300"/>
      <c r="AA16" s="287"/>
      <c r="AB16" s="116"/>
      <c r="AC16" s="17"/>
      <c r="AD16" s="288"/>
      <c r="AE16" s="17"/>
      <c r="AF16" s="287"/>
      <c r="AG16" s="116"/>
      <c r="AH16" s="283" t="str">
        <f>IF(Таблица5[[#This Row],[30]]=0,"НД",Таблица5[[#This Row],[20]]-Таблица5[[#This Row],[30]])</f>
        <v>НД</v>
      </c>
      <c r="AI16" s="284" t="str">
        <f>IF(((1-Таблица5[[#This Row],[30]]/Таблица5[[#This Row],[20]])=1),"НД",(1-Таблица5[[#This Row],[30]]/Таблица5[[#This Row],[20]]))</f>
        <v>НД</v>
      </c>
      <c r="AJ16" s="116"/>
      <c r="AK16" s="116"/>
      <c r="AL16" s="117"/>
      <c r="AM16" s="51"/>
      <c r="AN16" s="375"/>
      <c r="AO16" s="377">
        <f>IF(Таблица5[[#This Row],[11]]=0,,MONTH(Таблица5[[#This Row],[11]]))</f>
        <v>0</v>
      </c>
    </row>
    <row r="17" spans="1:41" ht="80.099999999999994" customHeight="1" thickBot="1" x14ac:dyDescent="0.3">
      <c r="A17" s="282" t="str">
        <f t="shared" si="0"/>
        <v>0645-00002</v>
      </c>
      <c r="B17" s="15" t="str">
        <f>РПЗ!$D17</f>
        <v xml:space="preserve">0645-00002. Оказание услуг по защите объекта </v>
      </c>
      <c r="C17" s="15" t="str">
        <f>РПЗ!$AA17</f>
        <v>Отдел обеспечения пропускного режима Семашкина</v>
      </c>
      <c r="D17" s="15" t="str">
        <f>РПЗ!$AB17</f>
        <v>Заказчик</v>
      </c>
      <c r="E17" s="100"/>
      <c r="F17" s="15" t="str">
        <f>РПЗ!Q17</f>
        <v>ЕП</v>
      </c>
      <c r="G17" s="16"/>
      <c r="H17" s="15" t="str">
        <f>РПЗ!R17</f>
        <v>Нет</v>
      </c>
      <c r="I17" s="15" t="str">
        <f>РПЗ!W17</f>
        <v>6.6.2(28)</v>
      </c>
      <c r="J17" s="15">
        <f>РПЗ!X17</f>
        <v>7704759968</v>
      </c>
      <c r="K17" s="336" t="str">
        <f>РПЗ!Z17</f>
        <v>2206618</v>
      </c>
      <c r="L17" s="17"/>
      <c r="M17" s="18">
        <f>РПЗ!O17</f>
        <v>42826</v>
      </c>
      <c r="N17" s="289"/>
      <c r="O17" s="17"/>
      <c r="P17" s="17"/>
      <c r="Q17" s="17"/>
      <c r="R17" s="17"/>
      <c r="S17" s="17"/>
      <c r="T17" s="17"/>
      <c r="U17" s="18">
        <f>РПЗ!P17</f>
        <v>42846</v>
      </c>
      <c r="V17" s="17"/>
      <c r="W17" s="285">
        <f>РПЗ!L17</f>
        <v>2206618</v>
      </c>
      <c r="X17" s="286"/>
      <c r="Y17" s="286"/>
      <c r="Z17" s="300"/>
      <c r="AA17" s="287"/>
      <c r="AB17" s="116"/>
      <c r="AC17" s="17"/>
      <c r="AD17" s="288"/>
      <c r="AE17" s="17"/>
      <c r="AF17" s="287"/>
      <c r="AG17" s="116"/>
      <c r="AH17" s="283" t="str">
        <f>IF(Таблица5[[#This Row],[30]]=0,"НД",Таблица5[[#This Row],[20]]-Таблица5[[#This Row],[30]])</f>
        <v>НД</v>
      </c>
      <c r="AI17" s="284" t="str">
        <f>IF(((1-Таблица5[[#This Row],[30]]/Таблица5[[#This Row],[20]])=1),"НД",(1-Таблица5[[#This Row],[30]]/Таблица5[[#This Row],[20]]))</f>
        <v>НД</v>
      </c>
      <c r="AJ17" s="116"/>
      <c r="AK17" s="116"/>
      <c r="AL17" s="117"/>
      <c r="AM17" s="51"/>
      <c r="AN17" s="375"/>
      <c r="AO17" s="377">
        <f>IF(Таблица5[[#This Row],[11]]=0,,MONTH(Таблица5[[#This Row],[11]]))</f>
        <v>0</v>
      </c>
    </row>
    <row r="18" spans="1:41" ht="80.099999999999994" customHeight="1" thickBot="1" x14ac:dyDescent="0.3">
      <c r="A18" s="282" t="str">
        <f t="shared" si="0"/>
        <v>0645-00003</v>
      </c>
      <c r="B18" s="15" t="str">
        <f>РПЗ!$D18</f>
        <v>0645-00003. Оказание услуг  по экстренному выезду наряда полиции при поступлении тревожного извещения</v>
      </c>
      <c r="C18" s="15" t="str">
        <f>РПЗ!$AA18</f>
        <v>Отдел обеспечения пропускного режима Семашкина</v>
      </c>
      <c r="D18" s="15" t="str">
        <f>РПЗ!$AB18</f>
        <v>Заказчик</v>
      </c>
      <c r="E18" s="100"/>
      <c r="F18" s="15" t="str">
        <f>РПЗ!Q18</f>
        <v>ЕП</v>
      </c>
      <c r="G18" s="16"/>
      <c r="H18" s="15" t="str">
        <f>РПЗ!R18</f>
        <v>Нет</v>
      </c>
      <c r="I18" s="15" t="str">
        <f>РПЗ!W18</f>
        <v>6.6.2(4)</v>
      </c>
      <c r="J18" s="15">
        <f>РПЗ!X18</f>
        <v>7813542362</v>
      </c>
      <c r="K18" s="336">
        <f>РПЗ!Z18</f>
        <v>253080</v>
      </c>
      <c r="L18" s="17"/>
      <c r="M18" s="18">
        <f>РПЗ!O18</f>
        <v>42917</v>
      </c>
      <c r="N18" s="289"/>
      <c r="O18" s="17"/>
      <c r="P18" s="17"/>
      <c r="Q18" s="17"/>
      <c r="R18" s="17"/>
      <c r="S18" s="17"/>
      <c r="T18" s="17"/>
      <c r="U18" s="18">
        <f>РПЗ!P18</f>
        <v>42948</v>
      </c>
      <c r="V18" s="17"/>
      <c r="W18" s="285">
        <f>РПЗ!L18</f>
        <v>253080</v>
      </c>
      <c r="X18" s="286"/>
      <c r="Y18" s="286"/>
      <c r="Z18" s="300"/>
      <c r="AA18" s="287"/>
      <c r="AB18" s="116"/>
      <c r="AC18" s="17"/>
      <c r="AD18" s="288"/>
      <c r="AE18" s="17"/>
      <c r="AF18" s="287"/>
      <c r="AG18" s="116"/>
      <c r="AH18" s="283" t="str">
        <f>IF(Таблица5[[#This Row],[30]]=0,"НД",Таблица5[[#This Row],[20]]-Таблица5[[#This Row],[30]])</f>
        <v>НД</v>
      </c>
      <c r="AI18" s="284" t="str">
        <f>IF(((1-Таблица5[[#This Row],[30]]/Таблица5[[#This Row],[20]])=1),"НД",(1-Таблица5[[#This Row],[30]]/Таблица5[[#This Row],[20]]))</f>
        <v>НД</v>
      </c>
      <c r="AJ18" s="116"/>
      <c r="AK18" s="116"/>
      <c r="AL18" s="117"/>
      <c r="AM18" s="51"/>
      <c r="AN18" s="375"/>
      <c r="AO18" s="377">
        <f>IF(Таблица5[[#This Row],[11]]=0,,MONTH(Таблица5[[#This Row],[11]]))</f>
        <v>0</v>
      </c>
    </row>
    <row r="19" spans="1:41" ht="80.099999999999994" customHeight="1" thickBot="1" x14ac:dyDescent="0.3">
      <c r="A19" s="282" t="str">
        <f t="shared" si="0"/>
        <v>0645-00004</v>
      </c>
      <c r="B19" s="15" t="str">
        <f>РПЗ!$D19</f>
        <v>0645-00004. Оказание услуг по сервисному обслуживанию оргтехники фирмы Осе Technologies, находящейся в отделе технической документации (ОТД)</v>
      </c>
      <c r="C19" s="15" t="str">
        <f>РПЗ!$AA19</f>
        <v>ОТД (Ерёмин)</v>
      </c>
      <c r="D19" s="15" t="str">
        <f>РПЗ!$AB19</f>
        <v>Заказчик</v>
      </c>
      <c r="E19" s="100"/>
      <c r="F19" s="15" t="str">
        <f>РПЗ!Q19</f>
        <v>ОЗП</v>
      </c>
      <c r="G19" s="16"/>
      <c r="H19" s="15" t="str">
        <f>РПЗ!R19</f>
        <v>да</v>
      </c>
      <c r="I19" s="15" t="str">
        <f>РПЗ!W19</f>
        <v>не применимо</v>
      </c>
      <c r="J19" s="15" t="str">
        <f>РПЗ!X19</f>
        <v>не применимо</v>
      </c>
      <c r="K19" s="336" t="str">
        <f>РПЗ!Z19</f>
        <v>не применимо</v>
      </c>
      <c r="L19" s="17"/>
      <c r="M19" s="18">
        <f>РПЗ!O19</f>
        <v>42795</v>
      </c>
      <c r="N19" s="289"/>
      <c r="O19" s="17"/>
      <c r="P19" s="17"/>
      <c r="Q19" s="17"/>
      <c r="R19" s="17"/>
      <c r="S19" s="17"/>
      <c r="T19" s="17"/>
      <c r="U19" s="18">
        <f>РПЗ!P19</f>
        <v>43191</v>
      </c>
      <c r="V19" s="17"/>
      <c r="W19" s="285">
        <f>РПЗ!L19</f>
        <v>230000</v>
      </c>
      <c r="X19" s="286"/>
      <c r="Y19" s="286"/>
      <c r="Z19" s="300"/>
      <c r="AA19" s="287"/>
      <c r="AB19" s="116"/>
      <c r="AC19" s="17"/>
      <c r="AD19" s="288"/>
      <c r="AE19" s="17"/>
      <c r="AF19" s="287"/>
      <c r="AG19" s="116"/>
      <c r="AH19" s="283" t="str">
        <f>IF(Таблица5[[#This Row],[30]]=0,"НД",Таблица5[[#This Row],[20]]-Таблица5[[#This Row],[30]])</f>
        <v>НД</v>
      </c>
      <c r="AI19" s="284" t="str">
        <f>IF(((1-Таблица5[[#This Row],[30]]/Таблица5[[#This Row],[20]])=1),"НД",(1-Таблица5[[#This Row],[30]]/Таблица5[[#This Row],[20]]))</f>
        <v>НД</v>
      </c>
      <c r="AJ19" s="116"/>
      <c r="AK19" s="116"/>
      <c r="AL19" s="117"/>
      <c r="AM19" s="51"/>
      <c r="AN19" s="375"/>
      <c r="AO19" s="377">
        <f>IF(Таблица5[[#This Row],[11]]=0,,MONTH(Таблица5[[#This Row],[11]]))</f>
        <v>0</v>
      </c>
    </row>
    <row r="20" spans="1:41" ht="80.099999999999994" customHeight="1" thickBot="1" x14ac:dyDescent="0.3">
      <c r="A20" s="282" t="str">
        <f t="shared" si="0"/>
        <v>0645-00005</v>
      </c>
      <c r="B20" s="15" t="str">
        <f>РПЗ!$D20</f>
        <v>0645-00005. Оказание услуг по сервисному обслуживанию оргтехники фирмы Canon, находящейся в отделе технической документации (ОТД)</v>
      </c>
      <c r="C20" s="15" t="str">
        <f>РПЗ!$AA20</f>
        <v>ОТД (Ерёмин)</v>
      </c>
      <c r="D20" s="15" t="str">
        <f>РПЗ!$AB20</f>
        <v>Заказчик</v>
      </c>
      <c r="E20" s="100"/>
      <c r="F20" s="15" t="str">
        <f>РПЗ!Q20</f>
        <v>ОЗП</v>
      </c>
      <c r="G20" s="16"/>
      <c r="H20" s="15" t="str">
        <f>РПЗ!R20</f>
        <v>да</v>
      </c>
      <c r="I20" s="15" t="str">
        <f>РПЗ!W20</f>
        <v>не применимо</v>
      </c>
      <c r="J20" s="15" t="str">
        <f>РПЗ!X20</f>
        <v>не применимо</v>
      </c>
      <c r="K20" s="336" t="str">
        <f>РПЗ!Z20</f>
        <v>не применимо</v>
      </c>
      <c r="L20" s="17"/>
      <c r="M20" s="18">
        <f>РПЗ!O20</f>
        <v>42795</v>
      </c>
      <c r="N20" s="289"/>
      <c r="O20" s="17"/>
      <c r="P20" s="17"/>
      <c r="Q20" s="17"/>
      <c r="R20" s="17"/>
      <c r="S20" s="17"/>
      <c r="T20" s="17"/>
      <c r="U20" s="18">
        <f>РПЗ!P20</f>
        <v>43191</v>
      </c>
      <c r="V20" s="17"/>
      <c r="W20" s="285">
        <f>РПЗ!L20</f>
        <v>200000</v>
      </c>
      <c r="X20" s="286"/>
      <c r="Y20" s="286"/>
      <c r="Z20" s="300"/>
      <c r="AA20" s="287"/>
      <c r="AB20" s="116"/>
      <c r="AC20" s="17"/>
      <c r="AD20" s="288"/>
      <c r="AE20" s="17"/>
      <c r="AF20" s="287"/>
      <c r="AG20" s="116"/>
      <c r="AH20" s="283" t="str">
        <f>IF(Таблица5[[#This Row],[30]]=0,"НД",Таблица5[[#This Row],[20]]-Таблица5[[#This Row],[30]])</f>
        <v>НД</v>
      </c>
      <c r="AI20" s="284" t="str">
        <f>IF(((1-Таблица5[[#This Row],[30]]/Таблица5[[#This Row],[20]])=1),"НД",(1-Таблица5[[#This Row],[30]]/Таблица5[[#This Row],[20]]))</f>
        <v>НД</v>
      </c>
      <c r="AJ20" s="116"/>
      <c r="AK20" s="116"/>
      <c r="AL20" s="117"/>
      <c r="AM20" s="51"/>
      <c r="AN20" s="375"/>
      <c r="AO20" s="377">
        <f>IF(Таблица5[[#This Row],[11]]=0,,MONTH(Таблица5[[#This Row],[11]]))</f>
        <v>0</v>
      </c>
    </row>
    <row r="21" spans="1:41" ht="80.099999999999994" customHeight="1" thickBot="1" x14ac:dyDescent="0.3">
      <c r="A21" s="282" t="str">
        <f t="shared" si="0"/>
        <v>0645-00006</v>
      </c>
      <c r="B21" s="15" t="str">
        <f>РПЗ!$D21</f>
        <v>0645-00006. Оказание услуг по поверке и калибровке средств измерений</v>
      </c>
      <c r="C21" s="15" t="str">
        <f>РПЗ!$AA21</f>
        <v>ОГМетр Балудин Игорь Леонидович, (812) 532-93-64</v>
      </c>
      <c r="D21" s="15" t="str">
        <f>РПЗ!$AB21</f>
        <v>Заказчик</v>
      </c>
      <c r="E21" s="100"/>
      <c r="F21" s="15" t="str">
        <f>РПЗ!Q21</f>
        <v>ОЗП</v>
      </c>
      <c r="G21" s="16"/>
      <c r="H21" s="15" t="str">
        <f>РПЗ!R21</f>
        <v>Да</v>
      </c>
      <c r="I21" s="15" t="str">
        <f>РПЗ!W21</f>
        <v>Не применимо</v>
      </c>
      <c r="J21" s="15" t="str">
        <f>РПЗ!X21</f>
        <v>Не применимо</v>
      </c>
      <c r="K21" s="336" t="str">
        <f>РПЗ!Z21</f>
        <v>Не применимо</v>
      </c>
      <c r="L21" s="17"/>
      <c r="M21" s="18">
        <f>РПЗ!O21</f>
        <v>42736</v>
      </c>
      <c r="N21" s="289"/>
      <c r="O21" s="17"/>
      <c r="P21" s="17"/>
      <c r="Q21" s="17"/>
      <c r="R21" s="17"/>
      <c r="S21" s="17"/>
      <c r="T21" s="17"/>
      <c r="U21" s="18">
        <f>РПЗ!P21</f>
        <v>43100</v>
      </c>
      <c r="V21" s="17"/>
      <c r="W21" s="285">
        <f>РПЗ!L21</f>
        <v>2000000</v>
      </c>
      <c r="X21" s="286"/>
      <c r="Y21" s="286"/>
      <c r="Z21" s="300"/>
      <c r="AA21" s="287"/>
      <c r="AB21" s="116"/>
      <c r="AC21" s="17"/>
      <c r="AD21" s="288"/>
      <c r="AE21" s="17"/>
      <c r="AF21" s="287"/>
      <c r="AG21" s="116"/>
      <c r="AH21" s="283" t="str">
        <f>IF(Таблица5[[#This Row],[30]]=0,"НД",Таблица5[[#This Row],[20]]-Таблица5[[#This Row],[30]])</f>
        <v>НД</v>
      </c>
      <c r="AI21" s="284" t="str">
        <f>IF(((1-Таблица5[[#This Row],[30]]/Таблица5[[#This Row],[20]])=1),"НД",(1-Таблица5[[#This Row],[30]]/Таблица5[[#This Row],[20]]))</f>
        <v>НД</v>
      </c>
      <c r="AJ21" s="116"/>
      <c r="AK21" s="116"/>
      <c r="AL21" s="117"/>
      <c r="AM21" s="51"/>
      <c r="AN21" s="375"/>
      <c r="AO21" s="377">
        <f>IF(Таблица5[[#This Row],[11]]=0,,MONTH(Таблица5[[#This Row],[11]]))</f>
        <v>0</v>
      </c>
    </row>
    <row r="22" spans="1:41" ht="80.099999999999994" customHeight="1" thickBot="1" x14ac:dyDescent="0.3">
      <c r="A22" s="282" t="str">
        <f t="shared" si="0"/>
        <v>0645-00007</v>
      </c>
      <c r="B22" s="15" t="str">
        <f>РПЗ!$D22</f>
        <v>0645-00007. Оказание услуг по проведению поверки и калибровки средств измерений</v>
      </c>
      <c r="C22" s="15" t="str">
        <f>РПЗ!$AA22</f>
        <v>НТЦ ТЗИ Зубрев Александр Михайлович 531-11-03</v>
      </c>
      <c r="D22" s="15" t="str">
        <f>РПЗ!$AB22</f>
        <v>Заказчик</v>
      </c>
      <c r="E22" s="100"/>
      <c r="F22" s="15" t="str">
        <f>РПЗ!Q22</f>
        <v>ОЗП</v>
      </c>
      <c r="G22" s="16"/>
      <c r="H22" s="15" t="str">
        <f>РПЗ!R22</f>
        <v>Да</v>
      </c>
      <c r="I22" s="15" t="str">
        <f>РПЗ!W22</f>
        <v>Не применимо</v>
      </c>
      <c r="J22" s="15" t="str">
        <f>РПЗ!X22</f>
        <v>Не применимо</v>
      </c>
      <c r="K22" s="336" t="str">
        <f>РПЗ!Z22</f>
        <v>Не применимо</v>
      </c>
      <c r="L22" s="17"/>
      <c r="M22" s="18">
        <f>РПЗ!O22</f>
        <v>42979</v>
      </c>
      <c r="N22" s="289"/>
      <c r="O22" s="17"/>
      <c r="P22" s="17"/>
      <c r="Q22" s="17"/>
      <c r="R22" s="17"/>
      <c r="S22" s="17"/>
      <c r="T22" s="17"/>
      <c r="U22" s="18">
        <f>РПЗ!P22</f>
        <v>43100</v>
      </c>
      <c r="V22" s="17"/>
      <c r="W22" s="285">
        <f>РПЗ!L22</f>
        <v>350000</v>
      </c>
      <c r="X22" s="286"/>
      <c r="Y22" s="286"/>
      <c r="Z22" s="300"/>
      <c r="AA22" s="287"/>
      <c r="AB22" s="116"/>
      <c r="AC22" s="17"/>
      <c r="AD22" s="288"/>
      <c r="AE22" s="17"/>
      <c r="AF22" s="287"/>
      <c r="AG22" s="116"/>
      <c r="AH22" s="283" t="str">
        <f>IF(Таблица5[[#This Row],[30]]=0,"НД",Таблица5[[#This Row],[20]]-Таблица5[[#This Row],[30]])</f>
        <v>НД</v>
      </c>
      <c r="AI22" s="284" t="str">
        <f>IF(((1-Таблица5[[#This Row],[30]]/Таблица5[[#This Row],[20]])=1),"НД",(1-Таблица5[[#This Row],[30]]/Таблица5[[#This Row],[20]]))</f>
        <v>НД</v>
      </c>
      <c r="AJ22" s="116"/>
      <c r="AK22" s="116"/>
      <c r="AL22" s="117"/>
      <c r="AM22" s="51"/>
      <c r="AN22" s="375"/>
      <c r="AO22" s="377">
        <f>IF(Таблица5[[#This Row],[11]]=0,,MONTH(Таблица5[[#This Row],[11]]))</f>
        <v>0</v>
      </c>
    </row>
    <row r="23" spans="1:41" ht="80.099999999999994" customHeight="1" thickBot="1" x14ac:dyDescent="0.3">
      <c r="A23" s="282" t="str">
        <f t="shared" si="0"/>
        <v>0645-00008</v>
      </c>
      <c r="B23" s="15" t="str">
        <f>РПЗ!$D23</f>
        <v xml:space="preserve">0645-00008. Поставка оборудования, расходных материалов, выполнение работ по ремонту оборудования ИТП №5 в корпусе № 4 АО "НПО "Импульс" по адресу: СПб, ул. Киришская, д.2, лит. А. </v>
      </c>
      <c r="C23" s="15" t="str">
        <f>РПЗ!$AA23</f>
        <v>Служба Главного Инженера Мартьянов Александр Георгиевич              594-57-66</v>
      </c>
      <c r="D23" s="15" t="str">
        <f>РПЗ!$AB23</f>
        <v>Заказчик</v>
      </c>
      <c r="E23" s="100"/>
      <c r="F23" s="15" t="str">
        <f>РПЗ!Q23</f>
        <v>ОЗК</v>
      </c>
      <c r="G23" s="16"/>
      <c r="H23" s="15" t="str">
        <f>РПЗ!R23</f>
        <v>Да</v>
      </c>
      <c r="I23" s="15" t="str">
        <f>РПЗ!W23</f>
        <v>Не применимо</v>
      </c>
      <c r="J23" s="15" t="str">
        <f>РПЗ!X23</f>
        <v>Не применимо</v>
      </c>
      <c r="K23" s="336" t="str">
        <f>РПЗ!Z23</f>
        <v>Не применимо</v>
      </c>
      <c r="L23" s="17"/>
      <c r="M23" s="18">
        <f>РПЗ!O23</f>
        <v>42856</v>
      </c>
      <c r="N23" s="289"/>
      <c r="O23" s="17"/>
      <c r="P23" s="17"/>
      <c r="Q23" s="17"/>
      <c r="R23" s="17"/>
      <c r="S23" s="17"/>
      <c r="T23" s="17"/>
      <c r="U23" s="18">
        <f>РПЗ!P23</f>
        <v>42948</v>
      </c>
      <c r="V23" s="17"/>
      <c r="W23" s="285">
        <f>РПЗ!L23</f>
        <v>2000000</v>
      </c>
      <c r="X23" s="286"/>
      <c r="Y23" s="286"/>
      <c r="Z23" s="300"/>
      <c r="AA23" s="287"/>
      <c r="AB23" s="116"/>
      <c r="AC23" s="17"/>
      <c r="AD23" s="288"/>
      <c r="AE23" s="17"/>
      <c r="AF23" s="287"/>
      <c r="AG23" s="116"/>
      <c r="AH23" s="283" t="str">
        <f>IF(Таблица5[[#This Row],[30]]=0,"НД",Таблица5[[#This Row],[20]]-Таблица5[[#This Row],[30]])</f>
        <v>НД</v>
      </c>
      <c r="AI23" s="284" t="str">
        <f>IF(((1-Таблица5[[#This Row],[30]]/Таблица5[[#This Row],[20]])=1),"НД",(1-Таблица5[[#This Row],[30]]/Таблица5[[#This Row],[20]]))</f>
        <v>НД</v>
      </c>
      <c r="AJ23" s="116"/>
      <c r="AK23" s="116"/>
      <c r="AL23" s="117"/>
      <c r="AM23" s="51"/>
      <c r="AN23" s="375"/>
      <c r="AO23" s="377">
        <f>IF(Таблица5[[#This Row],[11]]=0,,MONTH(Таблица5[[#This Row],[11]]))</f>
        <v>0</v>
      </c>
    </row>
    <row r="24" spans="1:41" ht="80.099999999999994" customHeight="1" thickBot="1" x14ac:dyDescent="0.3">
      <c r="A24" s="282" t="str">
        <f t="shared" si="0"/>
        <v>0645-00009</v>
      </c>
      <c r="B24" s="15" t="str">
        <f>РПЗ!$D24</f>
        <v>0645-00009. Выполнение работ по ремонту освещения конференц-зала корпуса №5 (2 этаж) с заменой светильников АО "НПО Импульс" по адресу: СПб, ул. Киришская, д.2, лит. А.</v>
      </c>
      <c r="C24" s="15" t="str">
        <f>РПЗ!$AA24</f>
        <v>Служба Главного Инженера Мартьянов Александр Георгиевич              594-57-66</v>
      </c>
      <c r="D24" s="15" t="str">
        <f>РПЗ!$AB24</f>
        <v>Заказчик</v>
      </c>
      <c r="E24" s="100"/>
      <c r="F24" s="15" t="str">
        <f>РПЗ!Q24</f>
        <v>ОЗК</v>
      </c>
      <c r="G24" s="16"/>
      <c r="H24" s="15" t="str">
        <f>РПЗ!R24</f>
        <v>Да</v>
      </c>
      <c r="I24" s="15" t="str">
        <f>РПЗ!W24</f>
        <v>Не применимо</v>
      </c>
      <c r="J24" s="15" t="str">
        <f>РПЗ!X24</f>
        <v>Не применимо</v>
      </c>
      <c r="K24" s="336" t="str">
        <f>РПЗ!Z24</f>
        <v>Не применимо</v>
      </c>
      <c r="L24" s="17"/>
      <c r="M24" s="18">
        <f>РПЗ!O24</f>
        <v>42979</v>
      </c>
      <c r="N24" s="289"/>
      <c r="O24" s="17"/>
      <c r="P24" s="17"/>
      <c r="Q24" s="17"/>
      <c r="R24" s="17"/>
      <c r="S24" s="17"/>
      <c r="T24" s="17"/>
      <c r="U24" s="18">
        <f>РПЗ!P24</f>
        <v>43040</v>
      </c>
      <c r="V24" s="17"/>
      <c r="W24" s="285">
        <f>РПЗ!L24</f>
        <v>800000</v>
      </c>
      <c r="X24" s="286"/>
      <c r="Y24" s="286"/>
      <c r="Z24" s="300"/>
      <c r="AA24" s="287"/>
      <c r="AB24" s="116"/>
      <c r="AC24" s="17"/>
      <c r="AD24" s="288"/>
      <c r="AE24" s="17"/>
      <c r="AF24" s="287"/>
      <c r="AG24" s="116"/>
      <c r="AH24" s="283" t="str">
        <f>IF(Таблица5[[#This Row],[30]]=0,"НД",Таблица5[[#This Row],[20]]-Таблица5[[#This Row],[30]])</f>
        <v>НД</v>
      </c>
      <c r="AI24" s="284" t="str">
        <f>IF(((1-Таблица5[[#This Row],[30]]/Таблица5[[#This Row],[20]])=1),"НД",(1-Таблица5[[#This Row],[30]]/Таблица5[[#This Row],[20]]))</f>
        <v>НД</v>
      </c>
      <c r="AJ24" s="116"/>
      <c r="AK24" s="116"/>
      <c r="AL24" s="117"/>
      <c r="AM24" s="51"/>
      <c r="AN24" s="375"/>
      <c r="AO24" s="377">
        <f>IF(Таблица5[[#This Row],[11]]=0,,MONTH(Таблица5[[#This Row],[11]]))</f>
        <v>0</v>
      </c>
    </row>
    <row r="25" spans="1:41" ht="80.099999999999994" customHeight="1" thickBot="1" x14ac:dyDescent="0.3">
      <c r="A25" s="282" t="str">
        <f t="shared" si="0"/>
        <v>0645-00010</v>
      </c>
      <c r="B25" s="15" t="str">
        <f>РПЗ!$D25</f>
        <v>0645-00010. Выполнение работ по перемонтажу оборудования автоматизированной информационно-измерительной системы коммерческого учета электроэнергии в корп.№ 2 АО "НПО Импульс" по адресу: СПб, ул. Киришская, д.2, лит. А.</v>
      </c>
      <c r="C25" s="15" t="str">
        <f>РПЗ!$AA25</f>
        <v>Служба Главного Инженера Мартьянов Александр Георгиевич              594-57-66</v>
      </c>
      <c r="D25" s="15" t="str">
        <f>РПЗ!$AB25</f>
        <v>Заказчик</v>
      </c>
      <c r="E25" s="100"/>
      <c r="F25" s="15" t="str">
        <f>РПЗ!Q25</f>
        <v>ОЗК</v>
      </c>
      <c r="G25" s="16"/>
      <c r="H25" s="15" t="str">
        <f>РПЗ!R25</f>
        <v>Да</v>
      </c>
      <c r="I25" s="15" t="str">
        <f>РПЗ!W25</f>
        <v>Не применимо</v>
      </c>
      <c r="J25" s="15" t="str">
        <f>РПЗ!X25</f>
        <v>Не применимо</v>
      </c>
      <c r="K25" s="336" t="str">
        <f>РПЗ!Z25</f>
        <v>Не применимо</v>
      </c>
      <c r="L25" s="17"/>
      <c r="M25" s="18">
        <f>РПЗ!O25</f>
        <v>42826</v>
      </c>
      <c r="N25" s="289"/>
      <c r="O25" s="17"/>
      <c r="P25" s="17"/>
      <c r="Q25" s="17"/>
      <c r="R25" s="17"/>
      <c r="S25" s="17"/>
      <c r="T25" s="17"/>
      <c r="U25" s="18">
        <f>РПЗ!P25</f>
        <v>42887</v>
      </c>
      <c r="V25" s="17"/>
      <c r="W25" s="285">
        <f>РПЗ!L25</f>
        <v>300000</v>
      </c>
      <c r="X25" s="286"/>
      <c r="Y25" s="286"/>
      <c r="Z25" s="300"/>
      <c r="AA25" s="287"/>
      <c r="AB25" s="116"/>
      <c r="AC25" s="17"/>
      <c r="AD25" s="288"/>
      <c r="AE25" s="17"/>
      <c r="AF25" s="287"/>
      <c r="AG25" s="116"/>
      <c r="AH25" s="283" t="str">
        <f>IF(Таблица5[[#This Row],[30]]=0,"НД",Таблица5[[#This Row],[20]]-Таблица5[[#This Row],[30]])</f>
        <v>НД</v>
      </c>
      <c r="AI25" s="284" t="str">
        <f>IF(((1-Таблица5[[#This Row],[30]]/Таблица5[[#This Row],[20]])=1),"НД",(1-Таблица5[[#This Row],[30]]/Таблица5[[#This Row],[20]]))</f>
        <v>НД</v>
      </c>
      <c r="AJ25" s="116"/>
      <c r="AK25" s="116"/>
      <c r="AL25" s="117"/>
      <c r="AM25" s="51"/>
      <c r="AN25" s="375"/>
      <c r="AO25" s="377">
        <f>IF(Таблица5[[#This Row],[11]]=0,,MONTH(Таблица5[[#This Row],[11]]))</f>
        <v>0</v>
      </c>
    </row>
    <row r="26" spans="1:41" ht="80.099999999999994" customHeight="1" thickBot="1" x14ac:dyDescent="0.3">
      <c r="A26" s="282" t="str">
        <f t="shared" si="0"/>
        <v>0645-00011</v>
      </c>
      <c r="B26" s="15" t="str">
        <f>РПЗ!$D26</f>
        <v>0645-00011. Поставка оборудования, расходных материалов, проведение ремонтных и сопутствующих работ по замене концевых муфт кабелей 10кВ, прокладки новой кабельной линии 10кВ, по замене  магистральных цепей питания ШП и ШУ, по замене вторичных цепей РЗА с проверкой, испытанием и наладкой РЗА, по замене коммутационных аппаратов  и кабелей 0,4кВ, по замене системы контроля сопротивления изоляции в цепях оперативного тока, по замене сети освещения в  РУ-10 кВ в корпусе № 2 АО «НПО «Импульс» по адресу: СПб, ул. Киришская, д.2,  лит.А.</v>
      </c>
      <c r="C26" s="15" t="str">
        <f>РПЗ!$AA26</f>
        <v>Служба Главного Инженера Мартьянов Александр Георгиевич              594-57-66</v>
      </c>
      <c r="D26" s="15" t="str">
        <f>РПЗ!$AB26</f>
        <v>АО ОПК</v>
      </c>
      <c r="E26" s="100"/>
      <c r="F26" s="15" t="str">
        <f>РПЗ!Q26</f>
        <v>ОЗК</v>
      </c>
      <c r="G26" s="16"/>
      <c r="H26" s="15" t="str">
        <f>РПЗ!R26</f>
        <v>Да</v>
      </c>
      <c r="I26" s="15" t="str">
        <f>РПЗ!W26</f>
        <v>Не применимо</v>
      </c>
      <c r="J26" s="15" t="str">
        <f>РПЗ!X26</f>
        <v>Не применимо</v>
      </c>
      <c r="K26" s="336" t="str">
        <f>РПЗ!Z26</f>
        <v>Не применимо</v>
      </c>
      <c r="L26" s="17"/>
      <c r="M26" s="18">
        <f>РПЗ!O26</f>
        <v>42826</v>
      </c>
      <c r="N26" s="289"/>
      <c r="O26" s="17"/>
      <c r="P26" s="17"/>
      <c r="Q26" s="17"/>
      <c r="R26" s="17"/>
      <c r="S26" s="17"/>
      <c r="T26" s="17"/>
      <c r="U26" s="18">
        <f>РПЗ!P26</f>
        <v>42917</v>
      </c>
      <c r="V26" s="17"/>
      <c r="W26" s="285">
        <f>РПЗ!L26</f>
        <v>7610000</v>
      </c>
      <c r="X26" s="286"/>
      <c r="Y26" s="286"/>
      <c r="Z26" s="300"/>
      <c r="AA26" s="287"/>
      <c r="AB26" s="116"/>
      <c r="AC26" s="17"/>
      <c r="AD26" s="288"/>
      <c r="AE26" s="17"/>
      <c r="AF26" s="287"/>
      <c r="AG26" s="116"/>
      <c r="AH26" s="283" t="str">
        <f>IF(Таблица5[[#This Row],[30]]=0,"НД",Таблица5[[#This Row],[20]]-Таблица5[[#This Row],[30]])</f>
        <v>НД</v>
      </c>
      <c r="AI26" s="284" t="str">
        <f>IF(((1-Таблица5[[#This Row],[30]]/Таблица5[[#This Row],[20]])=1),"НД",(1-Таблица5[[#This Row],[30]]/Таблица5[[#This Row],[20]]))</f>
        <v>НД</v>
      </c>
      <c r="AJ26" s="116"/>
      <c r="AK26" s="116"/>
      <c r="AL26" s="117"/>
      <c r="AM26" s="51"/>
      <c r="AN26" s="375"/>
      <c r="AO26" s="377">
        <f>IF(Таблица5[[#This Row],[11]]=0,,MONTH(Таблица5[[#This Row],[11]]))</f>
        <v>0</v>
      </c>
    </row>
    <row r="27" spans="1:41" ht="80.099999999999994" customHeight="1" thickBot="1" x14ac:dyDescent="0.3">
      <c r="A27" s="282" t="str">
        <f t="shared" si="0"/>
        <v>0645-00012</v>
      </c>
      <c r="B27" s="15" t="str">
        <f>РПЗ!$D27</f>
        <v>0645-00012. Изготовление, поставка 80 противопожарных дверей, 7 противопожарных люков и сопутствующих материалов,  демонтаж существующих дверей, люков, монтаж 80 противопожарных дверей, 7 противопожарных люков, выполнение сопутствующих работ в помещениях, коридорах АО «НПО «Импульс» по адресу: СПб, ул. Киришская, д.2, лит. А.</v>
      </c>
      <c r="C27" s="15" t="str">
        <f>РПЗ!$AA27</f>
        <v>Служба Главного Инженера Мартьянов Александр Георгиевич              594-57-66</v>
      </c>
      <c r="D27" s="15" t="str">
        <f>РПЗ!$AB27</f>
        <v>Заказчик</v>
      </c>
      <c r="E27" s="100"/>
      <c r="F27" s="15" t="str">
        <f>РПЗ!Q27</f>
        <v>ЕП</v>
      </c>
      <c r="G27" s="16"/>
      <c r="H27" s="15" t="str">
        <f>РПЗ!R27</f>
        <v>Нет</v>
      </c>
      <c r="I27" s="15" t="str">
        <f>РПЗ!W27</f>
        <v>6.6.2(14)</v>
      </c>
      <c r="J27" s="15">
        <f>РПЗ!X27</f>
        <v>7704867113</v>
      </c>
      <c r="K27" s="336">
        <f>РПЗ!Z27</f>
        <v>3100000</v>
      </c>
      <c r="L27" s="17"/>
      <c r="M27" s="18">
        <f>РПЗ!O27</f>
        <v>42887</v>
      </c>
      <c r="N27" s="289"/>
      <c r="O27" s="17"/>
      <c r="P27" s="17"/>
      <c r="Q27" s="17"/>
      <c r="R27" s="17"/>
      <c r="S27" s="17"/>
      <c r="T27" s="17"/>
      <c r="U27" s="18">
        <f>РПЗ!P27</f>
        <v>42948</v>
      </c>
      <c r="V27" s="17"/>
      <c r="W27" s="285">
        <f>РПЗ!L27</f>
        <v>3100000</v>
      </c>
      <c r="X27" s="286"/>
      <c r="Y27" s="286"/>
      <c r="Z27" s="300"/>
      <c r="AA27" s="287"/>
      <c r="AB27" s="116"/>
      <c r="AC27" s="17"/>
      <c r="AD27" s="288"/>
      <c r="AE27" s="17"/>
      <c r="AF27" s="287"/>
      <c r="AG27" s="116"/>
      <c r="AH27" s="283" t="str">
        <f>IF(Таблица5[[#This Row],[30]]=0,"НД",Таблица5[[#This Row],[20]]-Таблица5[[#This Row],[30]])</f>
        <v>НД</v>
      </c>
      <c r="AI27" s="284" t="str">
        <f>IF(((1-Таблица5[[#This Row],[30]]/Таблица5[[#This Row],[20]])=1),"НД",(1-Таблица5[[#This Row],[30]]/Таблица5[[#This Row],[20]]))</f>
        <v>НД</v>
      </c>
      <c r="AJ27" s="116"/>
      <c r="AK27" s="116"/>
      <c r="AL27" s="117"/>
      <c r="AM27" s="51"/>
      <c r="AN27" s="375"/>
      <c r="AO27" s="377">
        <f>IF(Таблица5[[#This Row],[11]]=0,,MONTH(Таблица5[[#This Row],[11]]))</f>
        <v>0</v>
      </c>
    </row>
    <row r="28" spans="1:41" ht="80.099999999999994" customHeight="1" thickBot="1" x14ac:dyDescent="0.3">
      <c r="A28" s="282" t="str">
        <f t="shared" si="0"/>
        <v>0645-00013</v>
      </c>
      <c r="B28" s="15" t="str">
        <f>РПЗ!$D28</f>
        <v>0645-00013. Выполнение работ по замене противопожарных стеновых панелей на сварочном участке РМЦ в корпусе №2  АО "НПО Импульс" по адресу: СПб, ул. Киришская, д.2, лит. А.</v>
      </c>
      <c r="C28" s="15" t="str">
        <f>РПЗ!$AA28</f>
        <v>Служба Главного Инженера Мартьянов Александр Георгиевич              594-57-66</v>
      </c>
      <c r="D28" s="15" t="str">
        <f>РПЗ!$AB28</f>
        <v>Заказчик</v>
      </c>
      <c r="E28" s="100"/>
      <c r="F28" s="15" t="str">
        <f>РПЗ!Q28</f>
        <v>ЕП</v>
      </c>
      <c r="G28" s="16"/>
      <c r="H28" s="15" t="str">
        <f>РПЗ!R28</f>
        <v>Нет</v>
      </c>
      <c r="I28" s="15" t="str">
        <f>РПЗ!W28</f>
        <v>6.6.2(14)</v>
      </c>
      <c r="J28" s="15">
        <f>РПЗ!X28</f>
        <v>7704867113</v>
      </c>
      <c r="K28" s="336">
        <f>РПЗ!Z28</f>
        <v>1100000</v>
      </c>
      <c r="L28" s="17"/>
      <c r="M28" s="18">
        <f>РПЗ!O28</f>
        <v>42856</v>
      </c>
      <c r="N28" s="289"/>
      <c r="O28" s="17"/>
      <c r="P28" s="17"/>
      <c r="Q28" s="17"/>
      <c r="R28" s="17"/>
      <c r="S28" s="17"/>
      <c r="T28" s="17"/>
      <c r="U28" s="18">
        <f>РПЗ!P28</f>
        <v>42917</v>
      </c>
      <c r="V28" s="17"/>
      <c r="W28" s="285">
        <f>РПЗ!L28</f>
        <v>1100000</v>
      </c>
      <c r="X28" s="286"/>
      <c r="Y28" s="286"/>
      <c r="Z28" s="300"/>
      <c r="AA28" s="287"/>
      <c r="AB28" s="116"/>
      <c r="AC28" s="17"/>
      <c r="AD28" s="288"/>
      <c r="AE28" s="17"/>
      <c r="AF28" s="287"/>
      <c r="AG28" s="116"/>
      <c r="AH28" s="283" t="str">
        <f>IF(Таблица5[[#This Row],[30]]=0,"НД",Таблица5[[#This Row],[20]]-Таблица5[[#This Row],[30]])</f>
        <v>НД</v>
      </c>
      <c r="AI28" s="284" t="str">
        <f>IF(((1-Таблица5[[#This Row],[30]]/Таблица5[[#This Row],[20]])=1),"НД",(1-Таблица5[[#This Row],[30]]/Таблица5[[#This Row],[20]]))</f>
        <v>НД</v>
      </c>
      <c r="AJ28" s="116"/>
      <c r="AK28" s="116"/>
      <c r="AL28" s="117"/>
      <c r="AM28" s="51"/>
      <c r="AN28" s="375"/>
      <c r="AO28" s="377">
        <f>IF(Таблица5[[#This Row],[11]]=0,,MONTH(Таблица5[[#This Row],[11]]))</f>
        <v>0</v>
      </c>
    </row>
    <row r="29" spans="1:41" ht="80.099999999999994" customHeight="1" thickBot="1" x14ac:dyDescent="0.3">
      <c r="A29" s="282" t="str">
        <f t="shared" si="0"/>
        <v>0645-00014</v>
      </c>
      <c r="B29" s="15" t="str">
        <f>РПЗ!$D29</f>
        <v>0645-00014. Выполнение работ по замене  стеновых панелей и половых плит в помещении склада в перемычке между корпусом №1 и корпусом №21 АО "НПО Импульс" по адресу: СПб, ул. Киришская, д.2, лит. А.</v>
      </c>
      <c r="C29" s="15" t="str">
        <f>РПЗ!$AA29</f>
        <v>Служба Главного Инженера Мартьянов Александр Георгиевич              594-57-66</v>
      </c>
      <c r="D29" s="15" t="str">
        <f>РПЗ!$AB29</f>
        <v>Заказчик</v>
      </c>
      <c r="E29" s="100"/>
      <c r="F29" s="15" t="str">
        <f>РПЗ!Q29</f>
        <v>ОЗК</v>
      </c>
      <c r="G29" s="16"/>
      <c r="H29" s="15" t="str">
        <f>РПЗ!R29</f>
        <v>Да</v>
      </c>
      <c r="I29" s="15" t="str">
        <f>РПЗ!W29</f>
        <v>Не применимо</v>
      </c>
      <c r="J29" s="15" t="str">
        <f>РПЗ!X29</f>
        <v>Не применимо</v>
      </c>
      <c r="K29" s="336" t="str">
        <f>РПЗ!Z29</f>
        <v>Не применимо</v>
      </c>
      <c r="L29" s="17"/>
      <c r="M29" s="18">
        <f>РПЗ!O29</f>
        <v>42856</v>
      </c>
      <c r="N29" s="289"/>
      <c r="O29" s="17"/>
      <c r="P29" s="17"/>
      <c r="Q29" s="17"/>
      <c r="R29" s="17"/>
      <c r="S29" s="17"/>
      <c r="T29" s="17"/>
      <c r="U29" s="18">
        <f>РПЗ!P29</f>
        <v>42917</v>
      </c>
      <c r="V29" s="17"/>
      <c r="W29" s="285">
        <f>РПЗ!L29</f>
        <v>1200000</v>
      </c>
      <c r="X29" s="286"/>
      <c r="Y29" s="286"/>
      <c r="Z29" s="300"/>
      <c r="AA29" s="287"/>
      <c r="AB29" s="116"/>
      <c r="AC29" s="17"/>
      <c r="AD29" s="288"/>
      <c r="AE29" s="17"/>
      <c r="AF29" s="287"/>
      <c r="AG29" s="116"/>
      <c r="AH29" s="283" t="str">
        <f>IF(Таблица5[[#This Row],[30]]=0,"НД",Таблица5[[#This Row],[20]]-Таблица5[[#This Row],[30]])</f>
        <v>НД</v>
      </c>
      <c r="AI29" s="284" t="str">
        <f>IF(((1-Таблица5[[#This Row],[30]]/Таблица5[[#This Row],[20]])=1),"НД",(1-Таблица5[[#This Row],[30]]/Таблица5[[#This Row],[20]]))</f>
        <v>НД</v>
      </c>
      <c r="AJ29" s="116"/>
      <c r="AK29" s="116"/>
      <c r="AL29" s="117"/>
      <c r="AM29" s="51"/>
      <c r="AN29" s="375"/>
      <c r="AO29" s="377">
        <f>IF(Таблица5[[#This Row],[11]]=0,,MONTH(Таблица5[[#This Row],[11]]))</f>
        <v>0</v>
      </c>
    </row>
    <row r="30" spans="1:41" ht="80.099999999999994" customHeight="1" thickBot="1" x14ac:dyDescent="0.3">
      <c r="A30" s="282" t="str">
        <f t="shared" si="0"/>
        <v>0645-00015</v>
      </c>
      <c r="B30" s="15" t="str">
        <f>РПЗ!$D30</f>
        <v>0645-00015. Изготовление и поставка 23 (двадцати трех) пожарных наружных вертикальных лестниц с демонтажем существующих пожарных лестниц, монтаж изготовленных и поставленных пожарных наружных вертикальных лестниц, грунтовка и окраска смонтированных пожарных наружных вертикальных лестниц по адресам:СПб, АО «НПО «Импульс», ул. Киришская, д. 2, литера А, ул. Обручевых, д.1.</v>
      </c>
      <c r="C30" s="15" t="str">
        <f>РПЗ!$AA30</f>
        <v>Служба Главного Инженера Мартьянов Александр Георгиевич              594-57-66</v>
      </c>
      <c r="D30" s="15" t="str">
        <f>РПЗ!$AB30</f>
        <v>Заказчик</v>
      </c>
      <c r="E30" s="100"/>
      <c r="F30" s="15" t="str">
        <f>РПЗ!Q30</f>
        <v>ЕП</v>
      </c>
      <c r="G30" s="16"/>
      <c r="H30" s="15" t="str">
        <f>РПЗ!R30</f>
        <v>Нет</v>
      </c>
      <c r="I30" s="15" t="str">
        <f>РПЗ!W30</f>
        <v>6.6.2(14)</v>
      </c>
      <c r="J30" s="15">
        <f>РПЗ!X30</f>
        <v>7704867113</v>
      </c>
      <c r="K30" s="336">
        <f>РПЗ!Z30</f>
        <v>1167000</v>
      </c>
      <c r="L30" s="17"/>
      <c r="M30" s="18">
        <f>РПЗ!O30</f>
        <v>42917</v>
      </c>
      <c r="N30" s="289"/>
      <c r="O30" s="17"/>
      <c r="P30" s="17"/>
      <c r="Q30" s="17"/>
      <c r="R30" s="17"/>
      <c r="S30" s="17"/>
      <c r="T30" s="17"/>
      <c r="U30" s="18">
        <f>РПЗ!P30</f>
        <v>42979</v>
      </c>
      <c r="V30" s="17"/>
      <c r="W30" s="285">
        <f>РПЗ!L30</f>
        <v>1167000</v>
      </c>
      <c r="X30" s="286"/>
      <c r="Y30" s="286"/>
      <c r="Z30" s="300"/>
      <c r="AA30" s="287"/>
      <c r="AB30" s="116"/>
      <c r="AC30" s="17"/>
      <c r="AD30" s="288"/>
      <c r="AE30" s="17"/>
      <c r="AF30" s="287"/>
      <c r="AG30" s="116"/>
      <c r="AH30" s="283" t="str">
        <f>IF(Таблица5[[#This Row],[30]]=0,"НД",Таблица5[[#This Row],[20]]-Таблица5[[#This Row],[30]])</f>
        <v>НД</v>
      </c>
      <c r="AI30" s="284" t="str">
        <f>IF(((1-Таблица5[[#This Row],[30]]/Таблица5[[#This Row],[20]])=1),"НД",(1-Таблица5[[#This Row],[30]]/Таблица5[[#This Row],[20]]))</f>
        <v>НД</v>
      </c>
      <c r="AJ30" s="116"/>
      <c r="AK30" s="116"/>
      <c r="AL30" s="117"/>
      <c r="AM30" s="51"/>
      <c r="AN30" s="375"/>
      <c r="AO30" s="377">
        <f>IF(Таблица5[[#This Row],[11]]=0,,MONTH(Таблица5[[#This Row],[11]]))</f>
        <v>0</v>
      </c>
    </row>
    <row r="31" spans="1:41" ht="80.099999999999994" customHeight="1" thickBot="1" x14ac:dyDescent="0.3">
      <c r="A31" s="282" t="str">
        <f t="shared" si="0"/>
        <v>0645-00016</v>
      </c>
      <c r="B31" s="15" t="str">
        <f>РПЗ!$D31</f>
        <v>0645-00016. Поставка лифтового оборудования, сопутствующих материалов, выполнение работ по замене лифтовых кабин лифтов № 15,16 в корпусе № 21 АО "НПО "Импульс" по адресу: СПб, ул. Киришская, д.2, лит. А.</v>
      </c>
      <c r="C31" s="15" t="str">
        <f>РПЗ!$AA31</f>
        <v>Служба Главного Инженера Мартьянов Александр Георгиевич              594-57-66</v>
      </c>
      <c r="D31" s="15" t="str">
        <f>РПЗ!$AB31</f>
        <v>Заказчик</v>
      </c>
      <c r="E31" s="100"/>
      <c r="F31" s="15" t="str">
        <f>РПЗ!Q31</f>
        <v xml:space="preserve">ОЗК </v>
      </c>
      <c r="G31" s="16"/>
      <c r="H31" s="15" t="str">
        <f>РПЗ!R31</f>
        <v>Да</v>
      </c>
      <c r="I31" s="15" t="str">
        <f>РПЗ!W31</f>
        <v>Не применимо</v>
      </c>
      <c r="J31" s="15" t="str">
        <f>РПЗ!X31</f>
        <v>Не применимо</v>
      </c>
      <c r="K31" s="336" t="str">
        <f>РПЗ!Z31</f>
        <v>Не применимо</v>
      </c>
      <c r="L31" s="17"/>
      <c r="M31" s="18">
        <f>РПЗ!O31</f>
        <v>42917</v>
      </c>
      <c r="N31" s="289"/>
      <c r="O31" s="17"/>
      <c r="P31" s="17"/>
      <c r="Q31" s="17"/>
      <c r="R31" s="17"/>
      <c r="S31" s="17"/>
      <c r="T31" s="17"/>
      <c r="U31" s="18">
        <f>РПЗ!P31</f>
        <v>43009</v>
      </c>
      <c r="V31" s="17"/>
      <c r="W31" s="285">
        <f>РПЗ!L31</f>
        <v>3000000</v>
      </c>
      <c r="X31" s="286"/>
      <c r="Y31" s="286"/>
      <c r="Z31" s="300"/>
      <c r="AA31" s="287"/>
      <c r="AB31" s="116"/>
      <c r="AC31" s="17"/>
      <c r="AD31" s="288"/>
      <c r="AE31" s="17"/>
      <c r="AF31" s="287"/>
      <c r="AG31" s="116"/>
      <c r="AH31" s="283" t="str">
        <f>IF(Таблица5[[#This Row],[30]]=0,"НД",Таблица5[[#This Row],[20]]-Таблица5[[#This Row],[30]])</f>
        <v>НД</v>
      </c>
      <c r="AI31" s="284" t="str">
        <f>IF(((1-Таблица5[[#This Row],[30]]/Таблица5[[#This Row],[20]])=1),"НД",(1-Таблица5[[#This Row],[30]]/Таблица5[[#This Row],[20]]))</f>
        <v>НД</v>
      </c>
      <c r="AJ31" s="116"/>
      <c r="AK31" s="116"/>
      <c r="AL31" s="117"/>
      <c r="AM31" s="51"/>
      <c r="AN31" s="375"/>
      <c r="AO31" s="377">
        <f>IF(Таблица5[[#This Row],[11]]=0,,MONTH(Таблица5[[#This Row],[11]]))</f>
        <v>0</v>
      </c>
    </row>
    <row r="32" spans="1:41" ht="80.099999999999994" customHeight="1" thickBot="1" x14ac:dyDescent="0.3">
      <c r="A32" s="282" t="str">
        <f t="shared" si="0"/>
        <v>0645-00017</v>
      </c>
      <c r="B32" s="15" t="str">
        <f>РПЗ!$D32</f>
        <v>0645-00017. Выполнение работ по ремонту ГПМ на  очистных сооружениях в корпусе №2 АО "НПО "Импульс" по адресу: 
г. Санкт-Петербург,  ул. Киришская, д.2  литера «А».</v>
      </c>
      <c r="C32" s="15" t="str">
        <f>РПЗ!$AA32</f>
        <v>Служба Главного Инженера Мартьянов Александр Георгиевич              594-57-66</v>
      </c>
      <c r="D32" s="15" t="str">
        <f>РПЗ!$AB32</f>
        <v>Заказчик</v>
      </c>
      <c r="E32" s="100"/>
      <c r="F32" s="15" t="str">
        <f>РПЗ!Q32</f>
        <v xml:space="preserve">ОЗК </v>
      </c>
      <c r="G32" s="16"/>
      <c r="H32" s="15" t="str">
        <f>РПЗ!R32</f>
        <v>Да</v>
      </c>
      <c r="I32" s="15" t="str">
        <f>РПЗ!W32</f>
        <v>Не применимо</v>
      </c>
      <c r="J32" s="15" t="str">
        <f>РПЗ!X32</f>
        <v>Не применимо</v>
      </c>
      <c r="K32" s="336" t="str">
        <f>РПЗ!Z32</f>
        <v>Не применимо</v>
      </c>
      <c r="L32" s="17"/>
      <c r="M32" s="18">
        <f>РПЗ!O32</f>
        <v>42795</v>
      </c>
      <c r="N32" s="289"/>
      <c r="O32" s="17"/>
      <c r="P32" s="17"/>
      <c r="Q32" s="17"/>
      <c r="R32" s="17"/>
      <c r="S32" s="17"/>
      <c r="T32" s="17"/>
      <c r="U32" s="18">
        <f>РПЗ!P32</f>
        <v>42856</v>
      </c>
      <c r="V32" s="17"/>
      <c r="W32" s="285">
        <f>РПЗ!L32</f>
        <v>2000000</v>
      </c>
      <c r="X32" s="286"/>
      <c r="Y32" s="286"/>
      <c r="Z32" s="300"/>
      <c r="AA32" s="287"/>
      <c r="AB32" s="116"/>
      <c r="AC32" s="17"/>
      <c r="AD32" s="288"/>
      <c r="AE32" s="17"/>
      <c r="AF32" s="287"/>
      <c r="AG32" s="116"/>
      <c r="AH32" s="283" t="str">
        <f>IF(Таблица5[[#This Row],[30]]=0,"НД",Таблица5[[#This Row],[20]]-Таблица5[[#This Row],[30]])</f>
        <v>НД</v>
      </c>
      <c r="AI32" s="284" t="str">
        <f>IF(((1-Таблица5[[#This Row],[30]]/Таблица5[[#This Row],[20]])=1),"НД",(1-Таблица5[[#This Row],[30]]/Таблица5[[#This Row],[20]]))</f>
        <v>НД</v>
      </c>
      <c r="AJ32" s="116"/>
      <c r="AK32" s="116"/>
      <c r="AL32" s="117"/>
      <c r="AM32" s="51"/>
      <c r="AN32" s="375"/>
      <c r="AO32" s="377">
        <f>IF(Таблица5[[#This Row],[11]]=0,,MONTH(Таблица5[[#This Row],[11]]))</f>
        <v>0</v>
      </c>
    </row>
    <row r="33" spans="1:41" ht="80.099999999999994" customHeight="1" thickBot="1" x14ac:dyDescent="0.3">
      <c r="A33" s="282" t="str">
        <f t="shared" si="0"/>
        <v>0645-00018</v>
      </c>
      <c r="B33" s="15" t="str">
        <f>РПЗ!$D33</f>
        <v>0645-00018. Поставка оборудования, расходных материалов, монтажные и пусконаладочные работы дополнительного оборудования автоматической установки  пожаротушения зала № 7 АО "НПО "Импульс" по адресу: г. Санкт-Петербург, ул. Киришская, д. 2 литера "А".</v>
      </c>
      <c r="C33" s="15" t="str">
        <f>РПЗ!$AA33</f>
        <v>Служба Главного Инженера Мартьянов Александр Георгиевич              594-57-66</v>
      </c>
      <c r="D33" s="15" t="str">
        <f>РПЗ!$AB33</f>
        <v>Заказчик</v>
      </c>
      <c r="E33" s="100"/>
      <c r="F33" s="15" t="str">
        <f>РПЗ!Q33</f>
        <v>ЕП</v>
      </c>
      <c r="G33" s="16"/>
      <c r="H33" s="15" t="str">
        <f>РПЗ!R33</f>
        <v>Нет</v>
      </c>
      <c r="I33" s="15" t="str">
        <f>РПЗ!W33</f>
        <v>6.6.2(14)</v>
      </c>
      <c r="J33" s="15">
        <f>РПЗ!X33</f>
        <v>7704867113</v>
      </c>
      <c r="K33" s="336">
        <f>РПЗ!Z33</f>
        <v>211611.48</v>
      </c>
      <c r="L33" s="17"/>
      <c r="M33" s="18">
        <f>РПЗ!O33</f>
        <v>42736</v>
      </c>
      <c r="N33" s="289"/>
      <c r="O33" s="17"/>
      <c r="P33" s="17"/>
      <c r="Q33" s="17"/>
      <c r="R33" s="17"/>
      <c r="S33" s="17"/>
      <c r="T33" s="17"/>
      <c r="U33" s="18">
        <f>РПЗ!P33</f>
        <v>42826</v>
      </c>
      <c r="V33" s="17"/>
      <c r="W33" s="285">
        <f>РПЗ!L33</f>
        <v>211611.48</v>
      </c>
      <c r="X33" s="286"/>
      <c r="Y33" s="286"/>
      <c r="Z33" s="300"/>
      <c r="AA33" s="287"/>
      <c r="AB33" s="116"/>
      <c r="AC33" s="17"/>
      <c r="AD33" s="288"/>
      <c r="AE33" s="17"/>
      <c r="AF33" s="287"/>
      <c r="AG33" s="116"/>
      <c r="AH33" s="283" t="str">
        <f>IF(Таблица5[[#This Row],[30]]=0,"НД",Таблица5[[#This Row],[20]]-Таблица5[[#This Row],[30]])</f>
        <v>НД</v>
      </c>
      <c r="AI33" s="284" t="str">
        <f>IF(((1-Таблица5[[#This Row],[30]]/Таблица5[[#This Row],[20]])=1),"НД",(1-Таблица5[[#This Row],[30]]/Таблица5[[#This Row],[20]]))</f>
        <v>НД</v>
      </c>
      <c r="AJ33" s="116"/>
      <c r="AK33" s="116"/>
      <c r="AL33" s="117"/>
      <c r="AM33" s="51"/>
      <c r="AN33" s="375"/>
      <c r="AO33" s="377">
        <f>IF(Таблица5[[#This Row],[11]]=0,,MONTH(Таблица5[[#This Row],[11]]))</f>
        <v>0</v>
      </c>
    </row>
    <row r="34" spans="1:41" ht="80.099999999999994" customHeight="1" thickBot="1" x14ac:dyDescent="0.3">
      <c r="A34" s="282" t="str">
        <f t="shared" si="0"/>
        <v>0645-00019</v>
      </c>
      <c r="B34" s="15" t="str">
        <f>РПЗ!$D34</f>
        <v>0645-00019. Разработка рабочей документации по созданию АПС и СОУЭ лит."З" пл.№ 1  АО "НПО "Импульс" по адресу: Санкт-Петербург, ул. Обручевых, д.1</v>
      </c>
      <c r="C34" s="15" t="str">
        <f>РПЗ!$AA34</f>
        <v>Служба Главного Инженера Мартьянов Александр Георгиевич              594-57-66</v>
      </c>
      <c r="D34" s="15" t="str">
        <f>РПЗ!$AB34</f>
        <v>Заказчик</v>
      </c>
      <c r="E34" s="100"/>
      <c r="F34" s="15" t="str">
        <f>РПЗ!Q34</f>
        <v>ЕП</v>
      </c>
      <c r="G34" s="16"/>
      <c r="H34" s="15" t="str">
        <f>РПЗ!R34</f>
        <v>Нет</v>
      </c>
      <c r="I34" s="15" t="str">
        <f>РПЗ!W34</f>
        <v>6.6.2(14)</v>
      </c>
      <c r="J34" s="15">
        <f>РПЗ!X34</f>
        <v>7704867113</v>
      </c>
      <c r="K34" s="336">
        <f>РПЗ!Z34</f>
        <v>300000</v>
      </c>
      <c r="L34" s="17"/>
      <c r="M34" s="18">
        <f>РПЗ!O34</f>
        <v>42736</v>
      </c>
      <c r="N34" s="289"/>
      <c r="O34" s="17"/>
      <c r="P34" s="17"/>
      <c r="Q34" s="17"/>
      <c r="R34" s="17"/>
      <c r="S34" s="17"/>
      <c r="T34" s="17"/>
      <c r="U34" s="18">
        <f>РПЗ!P34</f>
        <v>42826</v>
      </c>
      <c r="V34" s="17"/>
      <c r="W34" s="285">
        <f>РПЗ!L34</f>
        <v>300000</v>
      </c>
      <c r="X34" s="286"/>
      <c r="Y34" s="286"/>
      <c r="Z34" s="300"/>
      <c r="AA34" s="287"/>
      <c r="AB34" s="116"/>
      <c r="AC34" s="17"/>
      <c r="AD34" s="288"/>
      <c r="AE34" s="17"/>
      <c r="AF34" s="287"/>
      <c r="AG34" s="116"/>
      <c r="AH34" s="283" t="str">
        <f>IF(Таблица5[[#This Row],[30]]=0,"НД",Таблица5[[#This Row],[20]]-Таблица5[[#This Row],[30]])</f>
        <v>НД</v>
      </c>
      <c r="AI34" s="284" t="str">
        <f>IF(((1-Таблица5[[#This Row],[30]]/Таблица5[[#This Row],[20]])=1),"НД",(1-Таблица5[[#This Row],[30]]/Таблица5[[#This Row],[20]]))</f>
        <v>НД</v>
      </c>
      <c r="AJ34" s="116"/>
      <c r="AK34" s="116"/>
      <c r="AL34" s="117"/>
      <c r="AM34" s="51"/>
      <c r="AN34" s="375"/>
      <c r="AO34" s="377">
        <f>IF(Таблица5[[#This Row],[11]]=0,,MONTH(Таблица5[[#This Row],[11]]))</f>
        <v>0</v>
      </c>
    </row>
    <row r="35" spans="1:41" ht="80.099999999999994" customHeight="1" thickBot="1" x14ac:dyDescent="0.3">
      <c r="A35" s="282" t="str">
        <f t="shared" si="0"/>
        <v>0645-00020</v>
      </c>
      <c r="B35" s="15" t="str">
        <f>РПЗ!$D35</f>
        <v xml:space="preserve">0645-00020. Поставка оборудования, расходных материалов,  выполнение монтажных и сопутствующих работ по созданию АПС и СОУЭ лит."З" пл.№ 1  АО "НПО "Импульс" по адресу: Санкт-Петербург, ул. Обручевых, д.1
</v>
      </c>
      <c r="C35" s="15" t="str">
        <f>РПЗ!$AA35</f>
        <v>Служба Главного Инженера Мартьянов Александр Георгиевич              594-57-66</v>
      </c>
      <c r="D35" s="15" t="str">
        <f>РПЗ!$AB35</f>
        <v>Заказчик</v>
      </c>
      <c r="E35" s="100"/>
      <c r="F35" s="15" t="str">
        <f>РПЗ!Q35</f>
        <v>ЕП</v>
      </c>
      <c r="G35" s="16"/>
      <c r="H35" s="15" t="str">
        <f>РПЗ!R35</f>
        <v>Нет</v>
      </c>
      <c r="I35" s="15" t="str">
        <f>РПЗ!W35</f>
        <v>6.6.2(14)</v>
      </c>
      <c r="J35" s="15">
        <f>РПЗ!X35</f>
        <v>7704867113</v>
      </c>
      <c r="K35" s="336">
        <f>РПЗ!Z35</f>
        <v>1500000</v>
      </c>
      <c r="L35" s="17"/>
      <c r="M35" s="18">
        <f>РПЗ!O35</f>
        <v>42887</v>
      </c>
      <c r="N35" s="289"/>
      <c r="O35" s="17"/>
      <c r="P35" s="17"/>
      <c r="Q35" s="17"/>
      <c r="R35" s="17"/>
      <c r="S35" s="17"/>
      <c r="T35" s="17"/>
      <c r="U35" s="18">
        <f>РПЗ!P35</f>
        <v>42979</v>
      </c>
      <c r="V35" s="17"/>
      <c r="W35" s="285">
        <f>РПЗ!L35</f>
        <v>1500000</v>
      </c>
      <c r="X35" s="286"/>
      <c r="Y35" s="286"/>
      <c r="Z35" s="300"/>
      <c r="AA35" s="287"/>
      <c r="AB35" s="116"/>
      <c r="AC35" s="17"/>
      <c r="AD35" s="288"/>
      <c r="AE35" s="17"/>
      <c r="AF35" s="287"/>
      <c r="AG35" s="116"/>
      <c r="AH35" s="283" t="str">
        <f>IF(Таблица5[[#This Row],[30]]=0,"НД",Таблица5[[#This Row],[20]]-Таблица5[[#This Row],[30]])</f>
        <v>НД</v>
      </c>
      <c r="AI35" s="284" t="str">
        <f>IF(((1-Таблица5[[#This Row],[30]]/Таблица5[[#This Row],[20]])=1),"НД",(1-Таблица5[[#This Row],[30]]/Таблица5[[#This Row],[20]]))</f>
        <v>НД</v>
      </c>
      <c r="AJ35" s="116"/>
      <c r="AK35" s="116"/>
      <c r="AL35" s="117"/>
      <c r="AM35" s="51"/>
      <c r="AN35" s="375"/>
      <c r="AO35" s="377">
        <f>IF(Таблица5[[#This Row],[11]]=0,,MONTH(Таблица5[[#This Row],[11]]))</f>
        <v>0</v>
      </c>
    </row>
    <row r="36" spans="1:41" ht="80.099999999999994" customHeight="1" thickBot="1" x14ac:dyDescent="0.3">
      <c r="A36" s="282" t="str">
        <f t="shared" si="0"/>
        <v>0645-00021</v>
      </c>
      <c r="B36" s="15" t="str">
        <f>РПЗ!$D36</f>
        <v xml:space="preserve">0645-00021. Поставка оборудования, расходных материалов,  выполнение работ по монтажу системы дымоудаления корпуса № 6В на 1-13, 17 этажах АО «НПО «Импульс» по адресу: 
г. Санкт-Петербург,  ул. Киришская, д.2  литера «А».
</v>
      </c>
      <c r="C36" s="15" t="str">
        <f>РПЗ!$AA36</f>
        <v>Служба Главного Инженера Мартьянов Александр Георгиевич              594-57-66</v>
      </c>
      <c r="D36" s="15" t="str">
        <f>РПЗ!$AB36</f>
        <v>Заказчик</v>
      </c>
      <c r="E36" s="100"/>
      <c r="F36" s="15" t="str">
        <f>РПЗ!Q36</f>
        <v>ЕП</v>
      </c>
      <c r="G36" s="16"/>
      <c r="H36" s="15" t="str">
        <f>РПЗ!R36</f>
        <v>Нет</v>
      </c>
      <c r="I36" s="15" t="str">
        <f>РПЗ!W36</f>
        <v>6.6.2(14)</v>
      </c>
      <c r="J36" s="15">
        <f>РПЗ!X36</f>
        <v>7704867113</v>
      </c>
      <c r="K36" s="336">
        <f>РПЗ!Z36</f>
        <v>5000000</v>
      </c>
      <c r="L36" s="17"/>
      <c r="M36" s="18">
        <f>РПЗ!O36</f>
        <v>42795</v>
      </c>
      <c r="N36" s="289"/>
      <c r="O36" s="17"/>
      <c r="P36" s="17"/>
      <c r="Q36" s="17"/>
      <c r="R36" s="17"/>
      <c r="S36" s="17"/>
      <c r="T36" s="17"/>
      <c r="U36" s="18">
        <f>РПЗ!P36</f>
        <v>42887</v>
      </c>
      <c r="V36" s="17"/>
      <c r="W36" s="285">
        <f>РПЗ!L36</f>
        <v>5000000</v>
      </c>
      <c r="X36" s="286"/>
      <c r="Y36" s="286"/>
      <c r="Z36" s="300"/>
      <c r="AA36" s="287"/>
      <c r="AB36" s="116"/>
      <c r="AC36" s="17"/>
      <c r="AD36" s="288"/>
      <c r="AE36" s="17"/>
      <c r="AF36" s="287"/>
      <c r="AG36" s="116"/>
      <c r="AH36" s="283" t="str">
        <f>IF(Таблица5[[#This Row],[30]]=0,"НД",Таблица5[[#This Row],[20]]-Таблица5[[#This Row],[30]])</f>
        <v>НД</v>
      </c>
      <c r="AI36" s="284" t="str">
        <f>IF(((1-Таблица5[[#This Row],[30]]/Таблица5[[#This Row],[20]])=1),"НД",(1-Таблица5[[#This Row],[30]]/Таблица5[[#This Row],[20]]))</f>
        <v>НД</v>
      </c>
      <c r="AJ36" s="116"/>
      <c r="AK36" s="116"/>
      <c r="AL36" s="117"/>
      <c r="AM36" s="51"/>
      <c r="AN36" s="375"/>
      <c r="AO36" s="377">
        <f>IF(Таблица5[[#This Row],[11]]=0,,MONTH(Таблица5[[#This Row],[11]]))</f>
        <v>0</v>
      </c>
    </row>
    <row r="37" spans="1:41" ht="80.099999999999994" customHeight="1" thickBot="1" x14ac:dyDescent="0.3">
      <c r="A37" s="282" t="str">
        <f t="shared" si="0"/>
        <v>0645-00022</v>
      </c>
      <c r="B37" s="15" t="str">
        <f>РПЗ!$D37</f>
        <v>0645-00022. Поставка оборудования, расходных материалов,  выполнение работ по монтажу системы дымоудаления в корпусе 21: на 2, ½-3, ½-4, 8  этажах АО «НПО «Импульс» по адресу: г.Санкт-Петербург, ул. Киришская, д.2, литера "А".</v>
      </c>
      <c r="C37" s="15" t="str">
        <f>РПЗ!$AA37</f>
        <v>Служба Главного Инженера Мартьянов Александр Георгиевич              594-57-66</v>
      </c>
      <c r="D37" s="15" t="str">
        <f>РПЗ!$AB37</f>
        <v>Заказчик</v>
      </c>
      <c r="E37" s="100"/>
      <c r="F37" s="15" t="str">
        <f>РПЗ!Q37</f>
        <v>ЕП</v>
      </c>
      <c r="G37" s="16"/>
      <c r="H37" s="15" t="str">
        <f>РПЗ!R37</f>
        <v>Нет</v>
      </c>
      <c r="I37" s="15" t="str">
        <f>РПЗ!W37</f>
        <v>6.6.2(14)</v>
      </c>
      <c r="J37" s="15">
        <f>РПЗ!X37</f>
        <v>7704867113</v>
      </c>
      <c r="K37" s="336">
        <f>РПЗ!Z37</f>
        <v>4943480</v>
      </c>
      <c r="L37" s="17"/>
      <c r="M37" s="18">
        <f>РПЗ!O37</f>
        <v>42979</v>
      </c>
      <c r="N37" s="289"/>
      <c r="O37" s="17"/>
      <c r="P37" s="17"/>
      <c r="Q37" s="17"/>
      <c r="R37" s="17"/>
      <c r="S37" s="17"/>
      <c r="T37" s="17"/>
      <c r="U37" s="18">
        <f>РПЗ!P37</f>
        <v>43040</v>
      </c>
      <c r="V37" s="17"/>
      <c r="W37" s="285">
        <f>РПЗ!L37</f>
        <v>4943480</v>
      </c>
      <c r="X37" s="286"/>
      <c r="Y37" s="286"/>
      <c r="Z37" s="300"/>
      <c r="AA37" s="287"/>
      <c r="AB37" s="116"/>
      <c r="AC37" s="17"/>
      <c r="AD37" s="288"/>
      <c r="AE37" s="17"/>
      <c r="AF37" s="287"/>
      <c r="AG37" s="116"/>
      <c r="AH37" s="283" t="str">
        <f>IF(Таблица5[[#This Row],[30]]=0,"НД",Таблица5[[#This Row],[20]]-Таблица5[[#This Row],[30]])</f>
        <v>НД</v>
      </c>
      <c r="AI37" s="284" t="str">
        <f>IF(((1-Таблица5[[#This Row],[30]]/Таблица5[[#This Row],[20]])=1),"НД",(1-Таблица5[[#This Row],[30]]/Таблица5[[#This Row],[20]]))</f>
        <v>НД</v>
      </c>
      <c r="AJ37" s="116"/>
      <c r="AK37" s="116"/>
      <c r="AL37" s="117"/>
      <c r="AM37" s="51"/>
      <c r="AN37" s="375"/>
      <c r="AO37" s="377">
        <f>IF(Таблица5[[#This Row],[11]]=0,,MONTH(Таблица5[[#This Row],[11]]))</f>
        <v>0</v>
      </c>
    </row>
    <row r="38" spans="1:41" ht="80.099999999999994" customHeight="1" thickBot="1" x14ac:dyDescent="0.3">
      <c r="A38" s="282" t="str">
        <f t="shared" si="0"/>
        <v>0645-00023</v>
      </c>
      <c r="B38" s="15" t="str">
        <f>РПЗ!$D38</f>
        <v>0645-00023. Разработка рабочей документации системы дымоудаления корпуса № 5 АО «НПО «Импульс» по адресу: г. Санкт-Петербург, ул. Киришская, д.2, литера «А»</v>
      </c>
      <c r="C38" s="15" t="str">
        <f>РПЗ!$AA38</f>
        <v>Служба Главного Инженера Мартьянов Александр Георгиевич              594-57-66</v>
      </c>
      <c r="D38" s="15" t="str">
        <f>РПЗ!$AB38</f>
        <v>Заказчик</v>
      </c>
      <c r="E38" s="100"/>
      <c r="F38" s="15" t="str">
        <f>РПЗ!Q38</f>
        <v>ЕП</v>
      </c>
      <c r="G38" s="16"/>
      <c r="H38" s="15" t="str">
        <f>РПЗ!R38</f>
        <v>Нет</v>
      </c>
      <c r="I38" s="15" t="str">
        <f>РПЗ!W38</f>
        <v>6.6.2(14)</v>
      </c>
      <c r="J38" s="15">
        <f>РПЗ!X38</f>
        <v>7704867113</v>
      </c>
      <c r="K38" s="336">
        <f>РПЗ!Z38</f>
        <v>300000</v>
      </c>
      <c r="L38" s="17"/>
      <c r="M38" s="18">
        <f>РПЗ!O38</f>
        <v>42795</v>
      </c>
      <c r="N38" s="289"/>
      <c r="O38" s="17"/>
      <c r="P38" s="17"/>
      <c r="Q38" s="17"/>
      <c r="R38" s="17"/>
      <c r="S38" s="17"/>
      <c r="T38" s="17"/>
      <c r="U38" s="18">
        <f>РПЗ!P38</f>
        <v>42856</v>
      </c>
      <c r="V38" s="17"/>
      <c r="W38" s="285">
        <f>РПЗ!L38</f>
        <v>300000</v>
      </c>
      <c r="X38" s="286"/>
      <c r="Y38" s="286"/>
      <c r="Z38" s="300"/>
      <c r="AA38" s="287"/>
      <c r="AB38" s="116"/>
      <c r="AC38" s="17"/>
      <c r="AD38" s="288"/>
      <c r="AE38" s="17"/>
      <c r="AF38" s="287"/>
      <c r="AG38" s="116"/>
      <c r="AH38" s="283" t="str">
        <f>IF(Таблица5[[#This Row],[30]]=0,"НД",Таблица5[[#This Row],[20]]-Таблица5[[#This Row],[30]])</f>
        <v>НД</v>
      </c>
      <c r="AI38" s="284" t="str">
        <f>IF(((1-Таблица5[[#This Row],[30]]/Таблица5[[#This Row],[20]])=1),"НД",(1-Таблица5[[#This Row],[30]]/Таблица5[[#This Row],[20]]))</f>
        <v>НД</v>
      </c>
      <c r="AJ38" s="116"/>
      <c r="AK38" s="116"/>
      <c r="AL38" s="117"/>
      <c r="AM38" s="51"/>
      <c r="AN38" s="375"/>
      <c r="AO38" s="377">
        <f>IF(Таблица5[[#This Row],[11]]=0,,MONTH(Таблица5[[#This Row],[11]]))</f>
        <v>0</v>
      </c>
    </row>
    <row r="39" spans="1:41" ht="80.099999999999994" customHeight="1" thickBot="1" x14ac:dyDescent="0.3">
      <c r="A39" s="282" t="str">
        <f t="shared" si="0"/>
        <v>0645-00024</v>
      </c>
      <c r="B39" s="15" t="str">
        <f>РПЗ!$D39</f>
        <v>0645-00024. Поставка оборудования, расходных материалов,  выполнение работ по монтажу системы дымоудаления корпуса № 5 АО "НПО "Импульс" по адресу: г. Санкт-Петербург, ул. Киришская, д.2, литера «А»</v>
      </c>
      <c r="C39" s="15" t="str">
        <f>РПЗ!$AA39</f>
        <v>Служба Главного Инженера Мартьянов Александр Георгиевич              594-57-67</v>
      </c>
      <c r="D39" s="15" t="str">
        <f>РПЗ!$AB39</f>
        <v>АО ОПК</v>
      </c>
      <c r="E39" s="100"/>
      <c r="F39" s="15" t="str">
        <f>РПЗ!Q39</f>
        <v>ЕП</v>
      </c>
      <c r="G39" s="16"/>
      <c r="H39" s="15" t="str">
        <f>РПЗ!R39</f>
        <v>Нет</v>
      </c>
      <c r="I39" s="15" t="str">
        <f>РПЗ!W39</f>
        <v>6.6.2(14)</v>
      </c>
      <c r="J39" s="15">
        <f>РПЗ!X39</f>
        <v>7704867114</v>
      </c>
      <c r="K39" s="336">
        <f>РПЗ!Z39</f>
        <v>6000000</v>
      </c>
      <c r="L39" s="17"/>
      <c r="M39" s="18">
        <f>РПЗ!O39</f>
        <v>42887</v>
      </c>
      <c r="N39" s="289"/>
      <c r="O39" s="17"/>
      <c r="P39" s="17"/>
      <c r="Q39" s="17"/>
      <c r="R39" s="17"/>
      <c r="S39" s="17"/>
      <c r="T39" s="17"/>
      <c r="U39" s="18">
        <f>РПЗ!P39</f>
        <v>42979</v>
      </c>
      <c r="V39" s="17"/>
      <c r="W39" s="285">
        <f>РПЗ!L39</f>
        <v>6000000</v>
      </c>
      <c r="X39" s="286"/>
      <c r="Y39" s="286"/>
      <c r="Z39" s="300"/>
      <c r="AA39" s="287"/>
      <c r="AB39" s="116"/>
      <c r="AC39" s="17"/>
      <c r="AD39" s="288"/>
      <c r="AE39" s="17"/>
      <c r="AF39" s="287"/>
      <c r="AG39" s="116"/>
      <c r="AH39" s="283" t="str">
        <f>IF(Таблица5[[#This Row],[30]]=0,"НД",Таблица5[[#This Row],[20]]-Таблица5[[#This Row],[30]])</f>
        <v>НД</v>
      </c>
      <c r="AI39" s="284" t="str">
        <f>IF(((1-Таблица5[[#This Row],[30]]/Таблица5[[#This Row],[20]])=1),"НД",(1-Таблица5[[#This Row],[30]]/Таблица5[[#This Row],[20]]))</f>
        <v>НД</v>
      </c>
      <c r="AJ39" s="116"/>
      <c r="AK39" s="116"/>
      <c r="AL39" s="117"/>
      <c r="AM39" s="51"/>
      <c r="AN39" s="375"/>
      <c r="AO39" s="377">
        <f>IF(Таблица5[[#This Row],[11]]=0,,MONTH(Таблица5[[#This Row],[11]]))</f>
        <v>0</v>
      </c>
    </row>
    <row r="40" spans="1:41" ht="80.099999999999994" customHeight="1" thickBot="1" x14ac:dyDescent="0.3">
      <c r="A40" s="282" t="str">
        <f t="shared" si="0"/>
        <v>0645-00025</v>
      </c>
      <c r="B40" s="15" t="str">
        <f>РПЗ!$D40</f>
        <v>0645-00025. Разработка рабочей документации по реконструкции системы вентиляции залов СГК № 1, 2, 3, 4, ОКН АО "НПО "Импульс" по адресу: г. Санкт-Петербург, ул. Киришская, д. 2, литера "А".</v>
      </c>
      <c r="C40" s="15" t="str">
        <f>РПЗ!$AA40</f>
        <v>Служба Главного Инженера Мартьянов Александр Георгиевич              594-57-66</v>
      </c>
      <c r="D40" s="15" t="str">
        <f>РПЗ!$AB40</f>
        <v>Заказчик</v>
      </c>
      <c r="E40" s="100"/>
      <c r="F40" s="15" t="str">
        <f>РПЗ!Q40</f>
        <v xml:space="preserve">ОЗК </v>
      </c>
      <c r="G40" s="16"/>
      <c r="H40" s="15" t="str">
        <f>РПЗ!R40</f>
        <v>Да</v>
      </c>
      <c r="I40" s="15" t="str">
        <f>РПЗ!W40</f>
        <v>Не применимо</v>
      </c>
      <c r="J40" s="15" t="str">
        <f>РПЗ!X40</f>
        <v>Не применимо</v>
      </c>
      <c r="K40" s="336" t="str">
        <f>РПЗ!Z40</f>
        <v>Не применимо</v>
      </c>
      <c r="L40" s="17"/>
      <c r="M40" s="18">
        <f>РПЗ!O40</f>
        <v>42826</v>
      </c>
      <c r="N40" s="289"/>
      <c r="O40" s="17"/>
      <c r="P40" s="17"/>
      <c r="Q40" s="17"/>
      <c r="R40" s="17"/>
      <c r="S40" s="17"/>
      <c r="T40" s="17"/>
      <c r="U40" s="18">
        <f>РПЗ!P40</f>
        <v>42887</v>
      </c>
      <c r="V40" s="17"/>
      <c r="W40" s="285">
        <f>РПЗ!L40</f>
        <v>350000</v>
      </c>
      <c r="X40" s="286"/>
      <c r="Y40" s="286"/>
      <c r="Z40" s="300"/>
      <c r="AA40" s="287"/>
      <c r="AB40" s="116"/>
      <c r="AC40" s="17"/>
      <c r="AD40" s="288"/>
      <c r="AE40" s="17"/>
      <c r="AF40" s="287"/>
      <c r="AG40" s="116"/>
      <c r="AH40" s="283" t="str">
        <f>IF(Таблица5[[#This Row],[30]]=0,"НД",Таблица5[[#This Row],[20]]-Таблица5[[#This Row],[30]])</f>
        <v>НД</v>
      </c>
      <c r="AI40" s="284" t="str">
        <f>IF(((1-Таблица5[[#This Row],[30]]/Таблица5[[#This Row],[20]])=1),"НД",(1-Таблица5[[#This Row],[30]]/Таблица5[[#This Row],[20]]))</f>
        <v>НД</v>
      </c>
      <c r="AJ40" s="116"/>
      <c r="AK40" s="116"/>
      <c r="AL40" s="117"/>
      <c r="AM40" s="51"/>
      <c r="AN40" s="375"/>
      <c r="AO40" s="377">
        <f>IF(Таблица5[[#This Row],[11]]=0,,MONTH(Таблица5[[#This Row],[11]]))</f>
        <v>0</v>
      </c>
    </row>
    <row r="41" spans="1:41" ht="80.099999999999994" customHeight="1" thickBot="1" x14ac:dyDescent="0.3">
      <c r="A41" s="282" t="str">
        <f t="shared" si="0"/>
        <v>0645-00026</v>
      </c>
      <c r="B41" s="15" t="str">
        <f>РПЗ!$D41</f>
        <v>0645-00026. Поставка оборудования, расходных материалов, выполнение работ по реконструкции системы вентиляции залов СГК № 1, 2, 3, 4, ОКН АО «НПО «Импульс» по адресу: г. Санкт-Петербург, ул. Киришская, д. 2, литера «А».</v>
      </c>
      <c r="C41" s="15" t="str">
        <f>РПЗ!$AA41</f>
        <v>Служба Главного Инженера Мартьянов Александр Георгиевич              594-57-66</v>
      </c>
      <c r="D41" s="15" t="str">
        <f>РПЗ!$AB41</f>
        <v>Заказчик</v>
      </c>
      <c r="E41" s="100"/>
      <c r="F41" s="15" t="str">
        <f>РПЗ!Q41</f>
        <v xml:space="preserve">ОЗК </v>
      </c>
      <c r="G41" s="16"/>
      <c r="H41" s="15" t="str">
        <f>РПЗ!R41</f>
        <v>Да</v>
      </c>
      <c r="I41" s="15" t="str">
        <f>РПЗ!W41</f>
        <v>Не применимо</v>
      </c>
      <c r="J41" s="15" t="str">
        <f>РПЗ!X41</f>
        <v>Не применимо</v>
      </c>
      <c r="K41" s="336" t="str">
        <f>РПЗ!Z41</f>
        <v>Не применимо</v>
      </c>
      <c r="L41" s="17"/>
      <c r="M41" s="18">
        <f>РПЗ!O41</f>
        <v>42887</v>
      </c>
      <c r="N41" s="289"/>
      <c r="O41" s="17"/>
      <c r="P41" s="17"/>
      <c r="Q41" s="17"/>
      <c r="R41" s="17"/>
      <c r="S41" s="17"/>
      <c r="T41" s="17"/>
      <c r="U41" s="18">
        <f>РПЗ!P41</f>
        <v>42979</v>
      </c>
      <c r="V41" s="17"/>
      <c r="W41" s="285">
        <f>РПЗ!L41</f>
        <v>3500000</v>
      </c>
      <c r="X41" s="286"/>
      <c r="Y41" s="286"/>
      <c r="Z41" s="300"/>
      <c r="AA41" s="287"/>
      <c r="AB41" s="116"/>
      <c r="AC41" s="17"/>
      <c r="AD41" s="288"/>
      <c r="AE41" s="17"/>
      <c r="AF41" s="287"/>
      <c r="AG41" s="116"/>
      <c r="AH41" s="283" t="str">
        <f>IF(Таблица5[[#This Row],[30]]=0,"НД",Таблица5[[#This Row],[20]]-Таблица5[[#This Row],[30]])</f>
        <v>НД</v>
      </c>
      <c r="AI41" s="284" t="str">
        <f>IF(((1-Таблица5[[#This Row],[30]]/Таблица5[[#This Row],[20]])=1),"НД",(1-Таблица5[[#This Row],[30]]/Таблица5[[#This Row],[20]]))</f>
        <v>НД</v>
      </c>
      <c r="AJ41" s="116"/>
      <c r="AK41" s="116"/>
      <c r="AL41" s="117"/>
      <c r="AM41" s="51"/>
      <c r="AN41" s="375"/>
      <c r="AO41" s="377">
        <f>IF(Таблица5[[#This Row],[11]]=0,,MONTH(Таблица5[[#This Row],[11]]))</f>
        <v>0</v>
      </c>
    </row>
    <row r="42" spans="1:41" ht="80.099999999999994" customHeight="1" thickBot="1" x14ac:dyDescent="0.3">
      <c r="A42" s="282" t="str">
        <f t="shared" si="0"/>
        <v>0645-00027</v>
      </c>
      <c r="B42" s="15" t="str">
        <f>РПЗ!$D42</f>
        <v>0645-00027. Разработка рабочей документации подпора воздуха в шахту пожарного лифта в корпусе 6В  АО "НПО "Импульс" по адресу: г. Санкт-Петербург, ул. Киришская, д.2, литера "А".</v>
      </c>
      <c r="C42" s="15" t="str">
        <f>РПЗ!$AA42</f>
        <v>Служба Главного Инженера Мартьянов Александр Георгиевич              594-57-66</v>
      </c>
      <c r="D42" s="15" t="str">
        <f>РПЗ!$AB42</f>
        <v>Заказчик</v>
      </c>
      <c r="E42" s="100"/>
      <c r="F42" s="15" t="str">
        <f>РПЗ!Q42</f>
        <v xml:space="preserve">ОЗК </v>
      </c>
      <c r="G42" s="16"/>
      <c r="H42" s="15" t="str">
        <f>РПЗ!R42</f>
        <v>Да</v>
      </c>
      <c r="I42" s="15" t="str">
        <f>РПЗ!W42</f>
        <v>Не применимо</v>
      </c>
      <c r="J42" s="15" t="str">
        <f>РПЗ!X42</f>
        <v>Не применимо</v>
      </c>
      <c r="K42" s="336" t="str">
        <f>РПЗ!Z42</f>
        <v>Не применимо</v>
      </c>
      <c r="L42" s="17"/>
      <c r="M42" s="18">
        <f>РПЗ!O42</f>
        <v>42795</v>
      </c>
      <c r="N42" s="289"/>
      <c r="O42" s="17"/>
      <c r="P42" s="17"/>
      <c r="Q42" s="17"/>
      <c r="R42" s="17"/>
      <c r="S42" s="17"/>
      <c r="T42" s="17"/>
      <c r="U42" s="18">
        <f>РПЗ!P42</f>
        <v>42887</v>
      </c>
      <c r="V42" s="17"/>
      <c r="W42" s="285">
        <f>РПЗ!L42</f>
        <v>350000</v>
      </c>
      <c r="X42" s="286"/>
      <c r="Y42" s="286"/>
      <c r="Z42" s="300"/>
      <c r="AA42" s="287"/>
      <c r="AB42" s="116"/>
      <c r="AC42" s="17"/>
      <c r="AD42" s="288"/>
      <c r="AE42" s="17"/>
      <c r="AF42" s="287"/>
      <c r="AG42" s="116"/>
      <c r="AH42" s="283" t="str">
        <f>IF(Таблица5[[#This Row],[30]]=0,"НД",Таблица5[[#This Row],[20]]-Таблица5[[#This Row],[30]])</f>
        <v>НД</v>
      </c>
      <c r="AI42" s="284" t="str">
        <f>IF(((1-Таблица5[[#This Row],[30]]/Таблица5[[#This Row],[20]])=1),"НД",(1-Таблица5[[#This Row],[30]]/Таблица5[[#This Row],[20]]))</f>
        <v>НД</v>
      </c>
      <c r="AJ42" s="116"/>
      <c r="AK42" s="116"/>
      <c r="AL42" s="117"/>
      <c r="AM42" s="51"/>
      <c r="AN42" s="375"/>
      <c r="AO42" s="377">
        <f>IF(Таблица5[[#This Row],[11]]=0,,MONTH(Таблица5[[#This Row],[11]]))</f>
        <v>0</v>
      </c>
    </row>
    <row r="43" spans="1:41" ht="80.099999999999994" customHeight="1" thickBot="1" x14ac:dyDescent="0.3">
      <c r="A43" s="282" t="str">
        <f t="shared" si="0"/>
        <v>0645-00028</v>
      </c>
      <c r="B43" s="15" t="str">
        <f>РПЗ!$D43</f>
        <v>0645-00028. Поставка оборудования, расходных материалов, выполнение работ по монтажу подпора воздуха в шахту пожарного лифта в корпусе 6В АО "НПО "Импульс" по адресу: г. Санкт-Петербург, ул. Киришская, д.2, литера "А".</v>
      </c>
      <c r="C43" s="15" t="str">
        <f>РПЗ!$AA43</f>
        <v>Служба Главного Инженера Мартьянов Александр Георгиевич              594-57-66</v>
      </c>
      <c r="D43" s="15" t="str">
        <f>РПЗ!$AB43</f>
        <v>Заказчик</v>
      </c>
      <c r="E43" s="100"/>
      <c r="F43" s="15" t="str">
        <f>РПЗ!Q43</f>
        <v xml:space="preserve">ОЗК </v>
      </c>
      <c r="G43" s="16"/>
      <c r="H43" s="15" t="str">
        <f>РПЗ!R43</f>
        <v>Да</v>
      </c>
      <c r="I43" s="15" t="str">
        <f>РПЗ!W43</f>
        <v>Не применимо</v>
      </c>
      <c r="J43" s="15" t="str">
        <f>РПЗ!X43</f>
        <v>Не применимо</v>
      </c>
      <c r="K43" s="336" t="str">
        <f>РПЗ!Z43</f>
        <v>Не применимо</v>
      </c>
      <c r="L43" s="17"/>
      <c r="M43" s="18">
        <f>РПЗ!O43</f>
        <v>42979</v>
      </c>
      <c r="N43" s="289"/>
      <c r="O43" s="17"/>
      <c r="P43" s="17"/>
      <c r="Q43" s="17"/>
      <c r="R43" s="17"/>
      <c r="S43" s="17"/>
      <c r="T43" s="17"/>
      <c r="U43" s="18">
        <f>РПЗ!P43</f>
        <v>43070</v>
      </c>
      <c r="V43" s="17"/>
      <c r="W43" s="285">
        <f>РПЗ!L43</f>
        <v>1700000</v>
      </c>
      <c r="X43" s="286"/>
      <c r="Y43" s="286"/>
      <c r="Z43" s="300"/>
      <c r="AA43" s="287"/>
      <c r="AB43" s="116"/>
      <c r="AC43" s="17"/>
      <c r="AD43" s="288"/>
      <c r="AE43" s="17"/>
      <c r="AF43" s="287"/>
      <c r="AG43" s="116"/>
      <c r="AH43" s="283" t="str">
        <f>IF(Таблица5[[#This Row],[30]]=0,"НД",Таблица5[[#This Row],[20]]-Таблица5[[#This Row],[30]])</f>
        <v>НД</v>
      </c>
      <c r="AI43" s="284" t="str">
        <f>IF(((1-Таблица5[[#This Row],[30]]/Таблица5[[#This Row],[20]])=1),"НД",(1-Таблица5[[#This Row],[30]]/Таблица5[[#This Row],[20]]))</f>
        <v>НД</v>
      </c>
      <c r="AJ43" s="116"/>
      <c r="AK43" s="116"/>
      <c r="AL43" s="117"/>
      <c r="AM43" s="51"/>
      <c r="AN43" s="375"/>
      <c r="AO43" s="377">
        <f>IF(Таблица5[[#This Row],[11]]=0,,MONTH(Таблица5[[#This Row],[11]]))</f>
        <v>0</v>
      </c>
    </row>
    <row r="44" spans="1:41" ht="80.099999999999994" customHeight="1" thickBot="1" x14ac:dyDescent="0.3">
      <c r="A44" s="282" t="str">
        <f t="shared" si="0"/>
        <v>0645-00029</v>
      </c>
      <c r="B44" s="15" t="str">
        <f>РПЗ!$D44</f>
        <v>0645-00029. Поставка оборудования, расходных материалов, выполнение работ по монтажу вакуум-фильтра на участке очистных сооружений в корпусе №2 АО "НПО "Импульс" по адресу: г. Санкт-Петербург, ул. Киришская, д.2, литера "А".</v>
      </c>
      <c r="C44" s="15" t="str">
        <f>РПЗ!$AA44</f>
        <v>Служба Главного Инженера Мартьянов Александр Георгиевич              594-57-66</v>
      </c>
      <c r="D44" s="15" t="str">
        <f>РПЗ!$AB44</f>
        <v>Заказчик</v>
      </c>
      <c r="E44" s="100"/>
      <c r="F44" s="15" t="str">
        <f>РПЗ!Q44</f>
        <v xml:space="preserve">ОЗК </v>
      </c>
      <c r="G44" s="16"/>
      <c r="H44" s="15" t="str">
        <f>РПЗ!R44</f>
        <v>Да</v>
      </c>
      <c r="I44" s="15" t="str">
        <f>РПЗ!W44</f>
        <v>Не применимо</v>
      </c>
      <c r="J44" s="15" t="str">
        <f>РПЗ!X44</f>
        <v>Не применимо</v>
      </c>
      <c r="K44" s="336" t="str">
        <f>РПЗ!Z44</f>
        <v>Не применимо</v>
      </c>
      <c r="L44" s="17"/>
      <c r="M44" s="18">
        <f>РПЗ!O44</f>
        <v>42795</v>
      </c>
      <c r="N44" s="289"/>
      <c r="O44" s="17"/>
      <c r="P44" s="17"/>
      <c r="Q44" s="17"/>
      <c r="R44" s="17"/>
      <c r="S44" s="17"/>
      <c r="T44" s="17"/>
      <c r="U44" s="18">
        <f>РПЗ!P44</f>
        <v>42887</v>
      </c>
      <c r="V44" s="17"/>
      <c r="W44" s="285">
        <f>РПЗ!L44</f>
        <v>1800000</v>
      </c>
      <c r="X44" s="286"/>
      <c r="Y44" s="286"/>
      <c r="Z44" s="300"/>
      <c r="AA44" s="287"/>
      <c r="AB44" s="116"/>
      <c r="AC44" s="17"/>
      <c r="AD44" s="288"/>
      <c r="AE44" s="17"/>
      <c r="AF44" s="287"/>
      <c r="AG44" s="116"/>
      <c r="AH44" s="283" t="str">
        <f>IF(Таблица5[[#This Row],[30]]=0,"НД",Таблица5[[#This Row],[20]]-Таблица5[[#This Row],[30]])</f>
        <v>НД</v>
      </c>
      <c r="AI44" s="284" t="str">
        <f>IF(((1-Таблица5[[#This Row],[30]]/Таблица5[[#This Row],[20]])=1),"НД",(1-Таблица5[[#This Row],[30]]/Таблица5[[#This Row],[20]]))</f>
        <v>НД</v>
      </c>
      <c r="AJ44" s="116"/>
      <c r="AK44" s="116"/>
      <c r="AL44" s="117"/>
      <c r="AM44" s="51"/>
      <c r="AN44" s="375"/>
      <c r="AO44" s="377">
        <f>IF(Таблица5[[#This Row],[11]]=0,,MONTH(Таблица5[[#This Row],[11]]))</f>
        <v>0</v>
      </c>
    </row>
    <row r="45" spans="1:41" ht="80.099999999999994" customHeight="1" thickBot="1" x14ac:dyDescent="0.3">
      <c r="A45" s="282" t="str">
        <f t="shared" si="0"/>
        <v>0645-00030</v>
      </c>
      <c r="B45" s="15" t="str">
        <f>РПЗ!$D45</f>
        <v>0645-00030. Поставка оборудования, расходных материалов,  выполнение работ по монтажу системы заземления 6В АО "НПО «Импульс" по адресу: г. Санкт-Петербург, ул. Киришская, д.2, литера "А".</v>
      </c>
      <c r="C45" s="15" t="str">
        <f>РПЗ!$AA45</f>
        <v>Служба Главного Инженера Мартьянов Александр Георгиевич              594-57-66</v>
      </c>
      <c r="D45" s="15" t="str">
        <f>РПЗ!$AB45</f>
        <v>Заказчик</v>
      </c>
      <c r="E45" s="100"/>
      <c r="F45" s="15" t="str">
        <f>РПЗ!Q45</f>
        <v xml:space="preserve">ОЗК </v>
      </c>
      <c r="G45" s="16"/>
      <c r="H45" s="15" t="str">
        <f>РПЗ!R45</f>
        <v>Да</v>
      </c>
      <c r="I45" s="15" t="str">
        <f>РПЗ!W45</f>
        <v>Не применимо</v>
      </c>
      <c r="J45" s="15" t="str">
        <f>РПЗ!X45</f>
        <v>Не применимо</v>
      </c>
      <c r="K45" s="336" t="str">
        <f>РПЗ!Z45</f>
        <v>Не применимо</v>
      </c>
      <c r="L45" s="17"/>
      <c r="M45" s="18">
        <f>РПЗ!O45</f>
        <v>42979</v>
      </c>
      <c r="N45" s="289"/>
      <c r="O45" s="17"/>
      <c r="P45" s="17"/>
      <c r="Q45" s="17"/>
      <c r="R45" s="17"/>
      <c r="S45" s="17"/>
      <c r="T45" s="17"/>
      <c r="U45" s="18">
        <f>РПЗ!P45</f>
        <v>43040</v>
      </c>
      <c r="V45" s="17"/>
      <c r="W45" s="285">
        <f>РПЗ!L45</f>
        <v>3250000</v>
      </c>
      <c r="X45" s="286"/>
      <c r="Y45" s="286"/>
      <c r="Z45" s="300"/>
      <c r="AA45" s="287"/>
      <c r="AB45" s="116"/>
      <c r="AC45" s="17"/>
      <c r="AD45" s="288"/>
      <c r="AE45" s="17"/>
      <c r="AF45" s="287"/>
      <c r="AG45" s="116"/>
      <c r="AH45" s="283" t="str">
        <f>IF(Таблица5[[#This Row],[30]]=0,"НД",Таблица5[[#This Row],[20]]-Таблица5[[#This Row],[30]])</f>
        <v>НД</v>
      </c>
      <c r="AI45" s="284" t="str">
        <f>IF(((1-Таблица5[[#This Row],[30]]/Таблица5[[#This Row],[20]])=1),"НД",(1-Таблица5[[#This Row],[30]]/Таблица5[[#This Row],[20]]))</f>
        <v>НД</v>
      </c>
      <c r="AJ45" s="116"/>
      <c r="AK45" s="116"/>
      <c r="AL45" s="117"/>
      <c r="AM45" s="51"/>
      <c r="AN45" s="375"/>
      <c r="AO45" s="377">
        <f>IF(Таблица5[[#This Row],[11]]=0,,MONTH(Таблица5[[#This Row],[11]]))</f>
        <v>0</v>
      </c>
    </row>
    <row r="46" spans="1:41" ht="80.099999999999994" customHeight="1" thickBot="1" x14ac:dyDescent="0.3">
      <c r="A46" s="282" t="str">
        <f t="shared" si="0"/>
        <v>0645-00031</v>
      </c>
      <c r="B46" s="15" t="str">
        <f>РПЗ!$D46</f>
        <v>0645-00031. Поставка оборудования, расходных материалов, выполнение работ по реконструкции системы освещения залов СГК № 1, 2, 3,4, ОКН АО "НПО "Импульс" по адресу: г. Санкт-Петербург, ул. Киришская, д.2, литера "А".</v>
      </c>
      <c r="C46" s="15" t="str">
        <f>РПЗ!$AA46</f>
        <v>Служба Главного Инженера Мартьянов Александр Георгиевич              594-57-66</v>
      </c>
      <c r="D46" s="15" t="str">
        <f>РПЗ!$AB46</f>
        <v>Заказчик</v>
      </c>
      <c r="E46" s="100"/>
      <c r="F46" s="15" t="str">
        <f>РПЗ!Q46</f>
        <v xml:space="preserve">ОЗК </v>
      </c>
      <c r="G46" s="16"/>
      <c r="H46" s="15" t="str">
        <f>РПЗ!R46</f>
        <v>Да</v>
      </c>
      <c r="I46" s="15" t="str">
        <f>РПЗ!W46</f>
        <v>Не применимо</v>
      </c>
      <c r="J46" s="15" t="str">
        <f>РПЗ!X46</f>
        <v>Не применимо</v>
      </c>
      <c r="K46" s="336" t="str">
        <f>РПЗ!Z46</f>
        <v>Не применимо</v>
      </c>
      <c r="L46" s="17"/>
      <c r="M46" s="18">
        <f>РПЗ!O46</f>
        <v>42917</v>
      </c>
      <c r="N46" s="289"/>
      <c r="O46" s="17"/>
      <c r="P46" s="17"/>
      <c r="Q46" s="17"/>
      <c r="R46" s="17"/>
      <c r="S46" s="17"/>
      <c r="T46" s="17"/>
      <c r="U46" s="18">
        <f>РПЗ!P46</f>
        <v>42979</v>
      </c>
      <c r="V46" s="17"/>
      <c r="W46" s="285">
        <f>РПЗ!L46</f>
        <v>3000000</v>
      </c>
      <c r="X46" s="286"/>
      <c r="Y46" s="286"/>
      <c r="Z46" s="300"/>
      <c r="AA46" s="287"/>
      <c r="AB46" s="116"/>
      <c r="AC46" s="17"/>
      <c r="AD46" s="288"/>
      <c r="AE46" s="17"/>
      <c r="AF46" s="287"/>
      <c r="AG46" s="116"/>
      <c r="AH46" s="283" t="str">
        <f>IF(Таблица5[[#This Row],[30]]=0,"НД",Таблица5[[#This Row],[20]]-Таблица5[[#This Row],[30]])</f>
        <v>НД</v>
      </c>
      <c r="AI46" s="284" t="str">
        <f>IF(((1-Таблица5[[#This Row],[30]]/Таблица5[[#This Row],[20]])=1),"НД",(1-Таблица5[[#This Row],[30]]/Таблица5[[#This Row],[20]]))</f>
        <v>НД</v>
      </c>
      <c r="AJ46" s="116"/>
      <c r="AK46" s="116"/>
      <c r="AL46" s="117"/>
      <c r="AM46" s="51"/>
      <c r="AN46" s="375"/>
      <c r="AO46" s="377">
        <f>IF(Таблица5[[#This Row],[11]]=0,,MONTH(Таблица5[[#This Row],[11]]))</f>
        <v>0</v>
      </c>
    </row>
    <row r="47" spans="1:41" ht="80.099999999999994" customHeight="1" thickBot="1" x14ac:dyDescent="0.3">
      <c r="A47" s="282" t="str">
        <f t="shared" si="0"/>
        <v>0645-00032</v>
      </c>
      <c r="B47" s="15" t="str">
        <f>РПЗ!$D47</f>
        <v>0645-00032. Выполнение работ, связанных с "Целевой программой по обеспечению противопожарной защиты АО"НПО Импульс" в 2016 г.</v>
      </c>
      <c r="C47" s="15" t="str">
        <f>РПЗ!$AA47</f>
        <v>Служба Главного Инженера Мартьянов Александр Георгиевич              594-57-66</v>
      </c>
      <c r="D47" s="15" t="str">
        <f>РПЗ!$AB47</f>
        <v>Заказчик</v>
      </c>
      <c r="E47" s="100"/>
      <c r="F47" s="15" t="str">
        <f>РПЗ!Q47</f>
        <v>ЕП</v>
      </c>
      <c r="G47" s="16"/>
      <c r="H47" s="15" t="str">
        <f>РПЗ!R47</f>
        <v>Нет</v>
      </c>
      <c r="I47" s="15" t="str">
        <f>РПЗ!W47</f>
        <v>6.6.2(14)</v>
      </c>
      <c r="J47" s="15">
        <f>РПЗ!X47</f>
        <v>7704867113</v>
      </c>
      <c r="K47" s="336">
        <f>РПЗ!Z47</f>
        <v>2000000</v>
      </c>
      <c r="L47" s="17"/>
      <c r="M47" s="18">
        <f>РПЗ!O47</f>
        <v>43009</v>
      </c>
      <c r="N47" s="289"/>
      <c r="O47" s="17"/>
      <c r="P47" s="17"/>
      <c r="Q47" s="17"/>
      <c r="R47" s="17"/>
      <c r="S47" s="17"/>
      <c r="T47" s="17"/>
      <c r="U47" s="18">
        <f>РПЗ!P47</f>
        <v>43070</v>
      </c>
      <c r="V47" s="17"/>
      <c r="W47" s="285">
        <f>РПЗ!L47</f>
        <v>2000000</v>
      </c>
      <c r="X47" s="286"/>
      <c r="Y47" s="286"/>
      <c r="Z47" s="300"/>
      <c r="AA47" s="287"/>
      <c r="AB47" s="116"/>
      <c r="AC47" s="17"/>
      <c r="AD47" s="288"/>
      <c r="AE47" s="17"/>
      <c r="AF47" s="287"/>
      <c r="AG47" s="116"/>
      <c r="AH47" s="283" t="str">
        <f>IF(Таблица5[[#This Row],[30]]=0,"НД",Таблица5[[#This Row],[20]]-Таблица5[[#This Row],[30]])</f>
        <v>НД</v>
      </c>
      <c r="AI47" s="284" t="str">
        <f>IF(((1-Таблица5[[#This Row],[30]]/Таблица5[[#This Row],[20]])=1),"НД",(1-Таблица5[[#This Row],[30]]/Таблица5[[#This Row],[20]]))</f>
        <v>НД</v>
      </c>
      <c r="AJ47" s="116"/>
      <c r="AK47" s="116"/>
      <c r="AL47" s="117"/>
      <c r="AM47" s="51"/>
      <c r="AN47" s="375"/>
      <c r="AO47" s="377">
        <f>IF(Таблица5[[#This Row],[11]]=0,,MONTH(Таблица5[[#This Row],[11]]))</f>
        <v>0</v>
      </c>
    </row>
    <row r="48" spans="1:41" ht="80.099999999999994" customHeight="1" thickBot="1" x14ac:dyDescent="0.3">
      <c r="A48" s="282" t="str">
        <f t="shared" si="0"/>
        <v>0645-00033</v>
      </c>
      <c r="B48" s="15" t="str">
        <f>РПЗ!$D48</f>
        <v>0645-00033. Разработка проектной документации системы оповещения (ОСО)  ГО и ЧС площадки №4 АО "НПО "Импульс"по адресу: г. Санкт-Петербург, ул. Киришская, д.2, литера "А"</v>
      </c>
      <c r="C48" s="15" t="str">
        <f>РПЗ!$AA48</f>
        <v>Служба Главного Инженера Мартьянов Александр Георгиевич              594-57-66</v>
      </c>
      <c r="D48" s="15" t="str">
        <f>РПЗ!$AB48</f>
        <v>Заказчик</v>
      </c>
      <c r="E48" s="100"/>
      <c r="F48" s="15" t="str">
        <f>РПЗ!Q48</f>
        <v xml:space="preserve">ОЗК </v>
      </c>
      <c r="G48" s="16"/>
      <c r="H48" s="15" t="str">
        <f>РПЗ!R48</f>
        <v>Да</v>
      </c>
      <c r="I48" s="15" t="str">
        <f>РПЗ!W48</f>
        <v>Не применимо</v>
      </c>
      <c r="J48" s="15" t="str">
        <f>РПЗ!X48</f>
        <v>Не применимо</v>
      </c>
      <c r="K48" s="336" t="str">
        <f>РПЗ!Z48</f>
        <v>Не применимо</v>
      </c>
      <c r="L48" s="17"/>
      <c r="M48" s="18">
        <f>РПЗ!O48</f>
        <v>42979</v>
      </c>
      <c r="N48" s="289"/>
      <c r="O48" s="17"/>
      <c r="P48" s="17"/>
      <c r="Q48" s="17"/>
      <c r="R48" s="17"/>
      <c r="S48" s="17"/>
      <c r="T48" s="17"/>
      <c r="U48" s="18">
        <f>РПЗ!P48</f>
        <v>43040</v>
      </c>
      <c r="V48" s="17"/>
      <c r="W48" s="285">
        <f>РПЗ!L48</f>
        <v>350000</v>
      </c>
      <c r="X48" s="286"/>
      <c r="Y48" s="286"/>
      <c r="Z48" s="300"/>
      <c r="AA48" s="287"/>
      <c r="AB48" s="116"/>
      <c r="AC48" s="17"/>
      <c r="AD48" s="288"/>
      <c r="AE48" s="17"/>
      <c r="AF48" s="287"/>
      <c r="AG48" s="116"/>
      <c r="AH48" s="283" t="str">
        <f>IF(Таблица5[[#This Row],[30]]=0,"НД",Таблица5[[#This Row],[20]]-Таблица5[[#This Row],[30]])</f>
        <v>НД</v>
      </c>
      <c r="AI48" s="284" t="str">
        <f>IF(((1-Таблица5[[#This Row],[30]]/Таблица5[[#This Row],[20]])=1),"НД",(1-Таблица5[[#This Row],[30]]/Таблица5[[#This Row],[20]]))</f>
        <v>НД</v>
      </c>
      <c r="AJ48" s="116"/>
      <c r="AK48" s="116"/>
      <c r="AL48" s="117"/>
      <c r="AM48" s="51"/>
      <c r="AN48" s="375"/>
      <c r="AO48" s="377">
        <f>IF(Таблица5[[#This Row],[11]]=0,,MONTH(Таблица5[[#This Row],[11]]))</f>
        <v>0</v>
      </c>
    </row>
    <row r="49" spans="1:41" ht="80.099999999999994" customHeight="1" thickBot="1" x14ac:dyDescent="0.3">
      <c r="A49" s="282" t="str">
        <f t="shared" si="0"/>
        <v>0645-00034</v>
      </c>
      <c r="B49" s="15" t="str">
        <f>РПЗ!$D49</f>
        <v>0645-00034. Поставка оборудования, расходных материалов и работы по монтажу системы оповещения (ОСО)  ГО и ЧС площадки №4 АО "НПО "Импульс"по адресу: г. Санкт-Петербург, ул. Киришская, д.2, литера "А"</v>
      </c>
      <c r="C49" s="15" t="str">
        <f>РПЗ!$AA49</f>
        <v>Служба Главного Инженера Мартьянов Александр Георгиевич              594-57-66</v>
      </c>
      <c r="D49" s="15" t="str">
        <f>РПЗ!$AB49</f>
        <v>Заказчик</v>
      </c>
      <c r="E49" s="100"/>
      <c r="F49" s="15" t="str">
        <f>РПЗ!Q49</f>
        <v xml:space="preserve">ОЗК </v>
      </c>
      <c r="G49" s="16"/>
      <c r="H49" s="15" t="str">
        <f>РПЗ!R49</f>
        <v>Да</v>
      </c>
      <c r="I49" s="15" t="str">
        <f>РПЗ!W49</f>
        <v>Не применимо</v>
      </c>
      <c r="J49" s="15" t="str">
        <f>РПЗ!X49</f>
        <v>Не применимо</v>
      </c>
      <c r="K49" s="336" t="str">
        <f>РПЗ!Z49</f>
        <v>Не применимо</v>
      </c>
      <c r="L49" s="17"/>
      <c r="M49" s="18">
        <f>РПЗ!O49</f>
        <v>43040</v>
      </c>
      <c r="N49" s="289"/>
      <c r="O49" s="17"/>
      <c r="P49" s="17"/>
      <c r="Q49" s="17"/>
      <c r="R49" s="17"/>
      <c r="S49" s="17"/>
      <c r="T49" s="17"/>
      <c r="U49" s="18">
        <f>РПЗ!P49</f>
        <v>43101</v>
      </c>
      <c r="V49" s="17"/>
      <c r="W49" s="285">
        <f>РПЗ!L49</f>
        <v>2650000</v>
      </c>
      <c r="X49" s="286"/>
      <c r="Y49" s="286"/>
      <c r="Z49" s="300"/>
      <c r="AA49" s="287"/>
      <c r="AB49" s="116"/>
      <c r="AC49" s="17"/>
      <c r="AD49" s="288"/>
      <c r="AE49" s="17"/>
      <c r="AF49" s="287"/>
      <c r="AG49" s="116"/>
      <c r="AH49" s="283" t="str">
        <f>IF(Таблица5[[#This Row],[30]]=0,"НД",Таблица5[[#This Row],[20]]-Таблица5[[#This Row],[30]])</f>
        <v>НД</v>
      </c>
      <c r="AI49" s="284" t="str">
        <f>IF(((1-Таблица5[[#This Row],[30]]/Таблица5[[#This Row],[20]])=1),"НД",(1-Таблица5[[#This Row],[30]]/Таблица5[[#This Row],[20]]))</f>
        <v>НД</v>
      </c>
      <c r="AJ49" s="116"/>
      <c r="AK49" s="116"/>
      <c r="AL49" s="117"/>
      <c r="AM49" s="51"/>
      <c r="AN49" s="375"/>
      <c r="AO49" s="377">
        <f>IF(Таблица5[[#This Row],[11]]=0,,MONTH(Таблица5[[#This Row],[11]]))</f>
        <v>0</v>
      </c>
    </row>
    <row r="50" spans="1:41" ht="80.099999999999994" customHeight="1" x14ac:dyDescent="0.25">
      <c r="A50" s="282" t="str">
        <f t="shared" si="0"/>
        <v>0645-00035</v>
      </c>
      <c r="B50" s="15" t="str">
        <f>РПЗ!$D50</f>
        <v>0645-00035. Оказание услуг по техническому обслуживанию вентиляционной приточно-вытяжной системы, систем кондиционирования, сплит-систем АО "НПО "Импульс" по адресу:   г. Санкт-Петербург, ул. Киришская, д.2, литера "А".</v>
      </c>
      <c r="C50" s="15" t="str">
        <f>РПЗ!$AA50</f>
        <v>Служба Главного Инженера Мартьянов Александр Георгиевич              594-57-66</v>
      </c>
      <c r="D50" s="15" t="str">
        <f>РПЗ!$AB50</f>
        <v>Заказчик</v>
      </c>
      <c r="E50" s="100"/>
      <c r="F50" s="15" t="str">
        <f>РПЗ!Q50</f>
        <v xml:space="preserve">ОЗК </v>
      </c>
      <c r="G50" s="16"/>
      <c r="H50" s="15" t="str">
        <f>РПЗ!R50</f>
        <v>Да</v>
      </c>
      <c r="I50" s="15" t="str">
        <f>РПЗ!W50</f>
        <v>Не применимо</v>
      </c>
      <c r="J50" s="15" t="str">
        <f>РПЗ!X50</f>
        <v>Не применимо</v>
      </c>
      <c r="K50" s="336" t="str">
        <f>РПЗ!Z50</f>
        <v>Не применимо</v>
      </c>
      <c r="L50" s="17"/>
      <c r="M50" s="18">
        <f>РПЗ!O50</f>
        <v>42736</v>
      </c>
      <c r="N50" s="289"/>
      <c r="O50" s="17"/>
      <c r="P50" s="17"/>
      <c r="Q50" s="17"/>
      <c r="R50" s="17"/>
      <c r="S50" s="17"/>
      <c r="T50" s="17"/>
      <c r="U50" s="18">
        <f>РПЗ!P50</f>
        <v>43040</v>
      </c>
      <c r="V50" s="17"/>
      <c r="W50" s="285">
        <f>РПЗ!L50</f>
        <v>380000</v>
      </c>
      <c r="X50" s="286"/>
      <c r="Y50" s="286"/>
      <c r="Z50" s="300"/>
      <c r="AA50" s="287"/>
      <c r="AB50" s="116"/>
      <c r="AC50" s="17"/>
      <c r="AD50" s="288"/>
      <c r="AE50" s="17"/>
      <c r="AF50" s="287"/>
      <c r="AG50" s="116"/>
      <c r="AH50" s="283" t="str">
        <f>IF(Таблица5[[#This Row],[30]]=0,"НД",Таблица5[[#This Row],[20]]-Таблица5[[#This Row],[30]])</f>
        <v>НД</v>
      </c>
      <c r="AI50" s="284" t="str">
        <f>IF(((1-Таблица5[[#This Row],[30]]/Таблица5[[#This Row],[20]])=1),"НД",(1-Таблица5[[#This Row],[30]]/Таблица5[[#This Row],[20]]))</f>
        <v>НД</v>
      </c>
      <c r="AJ50" s="116"/>
      <c r="AK50" s="116"/>
      <c r="AL50" s="117"/>
      <c r="AM50" s="51"/>
      <c r="AN50" s="375"/>
      <c r="AO50" s="377">
        <f>IF(Таблица5[[#This Row],[11]]=0,,MONTH(Таблица5[[#This Row],[11]]))</f>
        <v>0</v>
      </c>
    </row>
    <row r="51" spans="1:41" ht="80.099999999999994" customHeight="1" x14ac:dyDescent="0.25">
      <c r="A51" s="282" t="str">
        <f t="shared" si="0"/>
        <v>0645-00036</v>
      </c>
      <c r="B51" s="282" t="str">
        <f>РПЗ!$D51</f>
        <v>0645-00036. Оказание услуг по  техническому обслуживанию   компрессора CECCATO CSD-75 и компрессора Atlas Copco GA 30  АО "НПО "Импульс" по адресу:  г. Санкт-Петербург, ул. Киришская, д. 2 литера "А".</v>
      </c>
      <c r="C51" s="282" t="str">
        <f>РПЗ!$AA51</f>
        <v>Служба Главного Инженера Мартьянов Александр Георгиевич              594-57-66</v>
      </c>
      <c r="D51" s="15" t="str">
        <f>РПЗ!$AB51</f>
        <v>Заказчик</v>
      </c>
      <c r="E51" s="692"/>
      <c r="F51" s="282" t="str">
        <f>РПЗ!Q51</f>
        <v xml:space="preserve">ОЗК </v>
      </c>
      <c r="G51" s="287"/>
      <c r="H51" s="287" t="str">
        <f>РПЗ!R51</f>
        <v>Да</v>
      </c>
      <c r="I51" s="15" t="str">
        <f>РПЗ!W51</f>
        <v>Не применимо</v>
      </c>
      <c r="J51" s="282" t="str">
        <f>РПЗ!X51</f>
        <v>Не применимо</v>
      </c>
      <c r="K51" s="336" t="str">
        <f>РПЗ!Z51</f>
        <v>Не применимо</v>
      </c>
      <c r="L51" s="17"/>
      <c r="M51" s="18">
        <f>РПЗ!O51</f>
        <v>42736</v>
      </c>
      <c r="N51" s="289"/>
      <c r="O51" s="17"/>
      <c r="P51" s="17"/>
      <c r="Q51" s="17"/>
      <c r="R51" s="17"/>
      <c r="S51" s="17"/>
      <c r="T51" s="17"/>
      <c r="U51" s="18">
        <f>РПЗ!P51</f>
        <v>43040</v>
      </c>
      <c r="V51" s="17"/>
      <c r="W51" s="285">
        <f>РПЗ!L51</f>
        <v>280000</v>
      </c>
      <c r="X51" s="286"/>
      <c r="Y51" s="286"/>
      <c r="Z51" s="300"/>
      <c r="AA51" s="287"/>
      <c r="AB51" s="116"/>
      <c r="AC51" s="17"/>
      <c r="AD51" s="288"/>
      <c r="AE51" s="17"/>
      <c r="AF51" s="287"/>
      <c r="AG51" s="116"/>
      <c r="AH51" s="285" t="str">
        <f>IF(Таблица5[[#This Row],[30]]=0,"НД",Таблица5[[#This Row],[20]]-Таблица5[[#This Row],[30]])</f>
        <v>НД</v>
      </c>
      <c r="AI51" s="693" t="str">
        <f>IF(((1-Таблица5[[#This Row],[30]]/Таблица5[[#This Row],[20]])=1),"НД",(1-Таблица5[[#This Row],[30]]/Таблица5[[#This Row],[20]]))</f>
        <v>НД</v>
      </c>
      <c r="AJ51" s="116"/>
      <c r="AK51" s="116"/>
      <c r="AL51" s="694"/>
      <c r="AM51" s="51"/>
      <c r="AN51" s="288"/>
      <c r="AO51" s="377">
        <f>IF(Таблица5[[#This Row],[11]]=0,,MONTH(Таблица5[[#This Row],[11]]))</f>
        <v>0</v>
      </c>
    </row>
    <row r="52" spans="1:41" ht="80.099999999999994" customHeight="1" x14ac:dyDescent="0.25">
      <c r="A52" s="282" t="str">
        <f t="shared" si="0"/>
        <v>0645-00037</v>
      </c>
      <c r="B52" s="282" t="str">
        <f>РПЗ!$D52</f>
        <v>0645-00037. Оказание услуг по чистке наружной и внутриплощадочной канализации пл. №4 АО "НПО "Импульс"по адресу: г. Санкт-Петербург, ул. Киришская, д.2, литера "А".</v>
      </c>
      <c r="C52" s="282" t="str">
        <f>РПЗ!$AA52</f>
        <v>Служба Главного Инженера Мартьянов Александр Георгиевич              594-57-66</v>
      </c>
      <c r="D52" s="15" t="str">
        <f>РПЗ!$AB52</f>
        <v>Заказчик</v>
      </c>
      <c r="E52" s="692"/>
      <c r="F52" s="282" t="str">
        <f>РПЗ!Q52</f>
        <v xml:space="preserve">ОЗК </v>
      </c>
      <c r="G52" s="287"/>
      <c r="H52" s="287" t="str">
        <f>РПЗ!R52</f>
        <v>Да</v>
      </c>
      <c r="I52" s="15" t="str">
        <f>РПЗ!W52</f>
        <v>Не применимо</v>
      </c>
      <c r="J52" s="282" t="str">
        <f>РПЗ!X52</f>
        <v>Не применимо</v>
      </c>
      <c r="K52" s="336" t="str">
        <f>РПЗ!Z52</f>
        <v>Не применимо</v>
      </c>
      <c r="L52" s="17"/>
      <c r="M52" s="18">
        <f>РПЗ!O52</f>
        <v>42856</v>
      </c>
      <c r="N52" s="289"/>
      <c r="O52" s="17"/>
      <c r="P52" s="17"/>
      <c r="Q52" s="17"/>
      <c r="R52" s="17"/>
      <c r="S52" s="17"/>
      <c r="T52" s="17"/>
      <c r="U52" s="18">
        <f>РПЗ!P52</f>
        <v>42917</v>
      </c>
      <c r="V52" s="17"/>
      <c r="W52" s="285">
        <f>РПЗ!L52</f>
        <v>200000</v>
      </c>
      <c r="X52" s="286"/>
      <c r="Y52" s="286"/>
      <c r="Z52" s="300"/>
      <c r="AA52" s="287"/>
      <c r="AB52" s="116"/>
      <c r="AC52" s="17"/>
      <c r="AD52" s="288"/>
      <c r="AE52" s="17"/>
      <c r="AF52" s="287"/>
      <c r="AG52" s="116"/>
      <c r="AH52" s="285" t="str">
        <f>IF(Таблица5[[#This Row],[30]]=0,"НД",Таблица5[[#This Row],[20]]-Таблица5[[#This Row],[30]])</f>
        <v>НД</v>
      </c>
      <c r="AI52" s="693" t="str">
        <f>IF(((1-Таблица5[[#This Row],[30]]/Таблица5[[#This Row],[20]])=1),"НД",(1-Таблица5[[#This Row],[30]]/Таблица5[[#This Row],[20]]))</f>
        <v>НД</v>
      </c>
      <c r="AJ52" s="116"/>
      <c r="AK52" s="116"/>
      <c r="AL52" s="694"/>
      <c r="AM52" s="51"/>
      <c r="AN52" s="288"/>
      <c r="AO52" s="377">
        <f>IF(Таблица5[[#This Row],[11]]=0,,MONTH(Таблица5[[#This Row],[11]]))</f>
        <v>0</v>
      </c>
    </row>
    <row r="53" spans="1:41" ht="80.099999999999994" customHeight="1" x14ac:dyDescent="0.25">
      <c r="A53" s="282" t="str">
        <f t="shared" si="0"/>
        <v>0645-00038</v>
      </c>
      <c r="B53" s="282" t="str">
        <f>РПЗ!$D53</f>
        <v xml:space="preserve">0645-00038. Оказание услуг по техническому обслуживанию системы контроля и управления доступом и системы видеонаблюдения АО "НПО "Импульс" по адресам: г. Санкт-Петербург, ул. Киришская д.2, лит. А, ул. Обручевых д.1  </v>
      </c>
      <c r="C53" s="282" t="str">
        <f>РПЗ!$AA53</f>
        <v>Служба Главного Инженера Мартьянов Александр Георгиевич              594-57-66</v>
      </c>
      <c r="D53" s="15" t="str">
        <f>РПЗ!$AB53</f>
        <v>Заказчик</v>
      </c>
      <c r="E53" s="692"/>
      <c r="F53" s="282" t="str">
        <f>РПЗ!Q53</f>
        <v xml:space="preserve">ОЗК </v>
      </c>
      <c r="G53" s="287"/>
      <c r="H53" s="287" t="str">
        <f>РПЗ!R53</f>
        <v>Да</v>
      </c>
      <c r="I53" s="15" t="str">
        <f>РПЗ!W53</f>
        <v>Не применимо</v>
      </c>
      <c r="J53" s="282" t="str">
        <f>РПЗ!X53</f>
        <v>Не применимо</v>
      </c>
      <c r="K53" s="336" t="str">
        <f>РПЗ!Z53</f>
        <v>Не применимо</v>
      </c>
      <c r="L53" s="17"/>
      <c r="M53" s="18">
        <f>РПЗ!O53</f>
        <v>42736</v>
      </c>
      <c r="N53" s="289"/>
      <c r="O53" s="17"/>
      <c r="P53" s="17"/>
      <c r="Q53" s="17"/>
      <c r="R53" s="17"/>
      <c r="S53" s="17"/>
      <c r="T53" s="17"/>
      <c r="U53" s="18">
        <f>РПЗ!P53</f>
        <v>43070</v>
      </c>
      <c r="V53" s="17"/>
      <c r="W53" s="285">
        <f>РПЗ!L53</f>
        <v>260000</v>
      </c>
      <c r="X53" s="286"/>
      <c r="Y53" s="286"/>
      <c r="Z53" s="300"/>
      <c r="AA53" s="287"/>
      <c r="AB53" s="116"/>
      <c r="AC53" s="17"/>
      <c r="AD53" s="288"/>
      <c r="AE53" s="17"/>
      <c r="AF53" s="287"/>
      <c r="AG53" s="116"/>
      <c r="AH53" s="285" t="str">
        <f>IF(Таблица5[[#This Row],[30]]=0,"НД",Таблица5[[#This Row],[20]]-Таблица5[[#This Row],[30]])</f>
        <v>НД</v>
      </c>
      <c r="AI53" s="693" t="str">
        <f>IF(((1-Таблица5[[#This Row],[30]]/Таблица5[[#This Row],[20]])=1),"НД",(1-Таблица5[[#This Row],[30]]/Таблица5[[#This Row],[20]]))</f>
        <v>НД</v>
      </c>
      <c r="AJ53" s="116"/>
      <c r="AK53" s="116"/>
      <c r="AL53" s="694"/>
      <c r="AM53" s="51"/>
      <c r="AN53" s="288"/>
      <c r="AO53" s="377">
        <f>IF(Таблица5[[#This Row],[11]]=0,,MONTH(Таблица5[[#This Row],[11]]))</f>
        <v>0</v>
      </c>
    </row>
    <row r="54" spans="1:41" ht="80.099999999999994" customHeight="1" x14ac:dyDescent="0.25">
      <c r="A54" s="282" t="str">
        <f t="shared" si="0"/>
        <v>0645-00039</v>
      </c>
      <c r="B54" s="282" t="str">
        <f>РПЗ!$D54</f>
        <v>0645-00039. Техническое освидетельствование лифтов АО "НПО "Импульс" по адресу:   г. Санкт-Петербург, ул. Киришская, д.2, литера "А"</v>
      </c>
      <c r="C54" s="282" t="str">
        <f>РПЗ!$AA54</f>
        <v>Служба Главного Инженера Мартьянов Александр Георгиевич              594-57-66</v>
      </c>
      <c r="D54" s="15" t="str">
        <f>РПЗ!$AB54</f>
        <v>Заказчик</v>
      </c>
      <c r="E54" s="692"/>
      <c r="F54" s="282" t="str">
        <f>РПЗ!Q54</f>
        <v xml:space="preserve">ОЗК </v>
      </c>
      <c r="G54" s="287"/>
      <c r="H54" s="287" t="str">
        <f>РПЗ!R54</f>
        <v>Да</v>
      </c>
      <c r="I54" s="15" t="str">
        <f>РПЗ!W54</f>
        <v>Не применимо</v>
      </c>
      <c r="J54" s="282" t="str">
        <f>РПЗ!X54</f>
        <v>Не применимо</v>
      </c>
      <c r="K54" s="336" t="str">
        <f>РПЗ!Z54</f>
        <v>Не применимо</v>
      </c>
      <c r="L54" s="17"/>
      <c r="M54" s="18">
        <f>РПЗ!O54</f>
        <v>42856</v>
      </c>
      <c r="N54" s="289"/>
      <c r="O54" s="17"/>
      <c r="P54" s="17"/>
      <c r="Q54" s="17"/>
      <c r="R54" s="17"/>
      <c r="S54" s="17"/>
      <c r="T54" s="17"/>
      <c r="U54" s="18">
        <f>РПЗ!P54</f>
        <v>42917</v>
      </c>
      <c r="V54" s="17"/>
      <c r="W54" s="285">
        <f>РПЗ!L54</f>
        <v>150000</v>
      </c>
      <c r="X54" s="286"/>
      <c r="Y54" s="286"/>
      <c r="Z54" s="300"/>
      <c r="AA54" s="287"/>
      <c r="AB54" s="116"/>
      <c r="AC54" s="17"/>
      <c r="AD54" s="288"/>
      <c r="AE54" s="17"/>
      <c r="AF54" s="287"/>
      <c r="AG54" s="116"/>
      <c r="AH54" s="285" t="str">
        <f>IF(Таблица5[[#This Row],[30]]=0,"НД",Таблица5[[#This Row],[20]]-Таблица5[[#This Row],[30]])</f>
        <v>НД</v>
      </c>
      <c r="AI54" s="693" t="str">
        <f>IF(((1-Таблица5[[#This Row],[30]]/Таблица5[[#This Row],[20]])=1),"НД",(1-Таблица5[[#This Row],[30]]/Таблица5[[#This Row],[20]]))</f>
        <v>НД</v>
      </c>
      <c r="AJ54" s="116"/>
      <c r="AK54" s="116"/>
      <c r="AL54" s="694"/>
      <c r="AM54" s="51"/>
      <c r="AN54" s="288"/>
      <c r="AO54" s="377">
        <f>IF(Таблица5[[#This Row],[11]]=0,,MONTH(Таблица5[[#This Row],[11]]))</f>
        <v>0</v>
      </c>
    </row>
    <row r="55" spans="1:41" ht="80.099999999999994" customHeight="1" x14ac:dyDescent="0.25">
      <c r="A55" s="282" t="str">
        <f t="shared" si="0"/>
        <v>0645-00040</v>
      </c>
      <c r="B55" s="282" t="str">
        <f>РПЗ!$D55</f>
        <v xml:space="preserve">0645-00040. Проведение  энергетического обследования и составление энергетического паспорта АО "НПО "Импульс" </v>
      </c>
      <c r="C55" s="282" t="str">
        <f>РПЗ!$AA55</f>
        <v>Служба Главного Инженера Мартьянов Александр Георгиевич              594-57-66</v>
      </c>
      <c r="D55" s="15" t="str">
        <f>РПЗ!$AB55</f>
        <v>Заказчик</v>
      </c>
      <c r="E55" s="692"/>
      <c r="F55" s="282" t="str">
        <f>РПЗ!Q55</f>
        <v xml:space="preserve">ОЗК </v>
      </c>
      <c r="G55" s="287"/>
      <c r="H55" s="287" t="str">
        <f>РПЗ!R55</f>
        <v>Да</v>
      </c>
      <c r="I55" s="15" t="str">
        <f>РПЗ!W55</f>
        <v>Не применимо</v>
      </c>
      <c r="J55" s="282" t="str">
        <f>РПЗ!X55</f>
        <v>Не применимо</v>
      </c>
      <c r="K55" s="336" t="str">
        <f>РПЗ!Z55</f>
        <v>Не применимо</v>
      </c>
      <c r="L55" s="17"/>
      <c r="M55" s="18">
        <f>РПЗ!O55</f>
        <v>42917</v>
      </c>
      <c r="N55" s="289"/>
      <c r="O55" s="17"/>
      <c r="P55" s="17"/>
      <c r="Q55" s="17"/>
      <c r="R55" s="17"/>
      <c r="S55" s="17"/>
      <c r="T55" s="17"/>
      <c r="U55" s="18">
        <f>РПЗ!P55</f>
        <v>42979</v>
      </c>
      <c r="V55" s="17"/>
      <c r="W55" s="285">
        <f>РПЗ!L55</f>
        <v>2000000</v>
      </c>
      <c r="X55" s="286"/>
      <c r="Y55" s="286"/>
      <c r="Z55" s="300"/>
      <c r="AA55" s="287"/>
      <c r="AB55" s="116"/>
      <c r="AC55" s="17"/>
      <c r="AD55" s="288"/>
      <c r="AE55" s="17"/>
      <c r="AF55" s="287"/>
      <c r="AG55" s="116"/>
      <c r="AH55" s="285" t="str">
        <f>IF(Таблица5[[#This Row],[30]]=0,"НД",Таблица5[[#This Row],[20]]-Таблица5[[#This Row],[30]])</f>
        <v>НД</v>
      </c>
      <c r="AI55" s="693" t="str">
        <f>IF(((1-Таблица5[[#This Row],[30]]/Таблица5[[#This Row],[20]])=1),"НД",(1-Таблица5[[#This Row],[30]]/Таблица5[[#This Row],[20]]))</f>
        <v>НД</v>
      </c>
      <c r="AJ55" s="116"/>
      <c r="AK55" s="116"/>
      <c r="AL55" s="694"/>
      <c r="AM55" s="51"/>
      <c r="AN55" s="288"/>
      <c r="AO55" s="377">
        <f>IF(Таблица5[[#This Row],[11]]=0,,MONTH(Таблица5[[#This Row],[11]]))</f>
        <v>0</v>
      </c>
    </row>
    <row r="56" spans="1:41" ht="80.099999999999994" customHeight="1" x14ac:dyDescent="0.25">
      <c r="A56" s="282" t="str">
        <f t="shared" si="0"/>
        <v>0645-00041</v>
      </c>
      <c r="B56" s="282" t="str">
        <f>РПЗ!$D56</f>
        <v>0645-00041. Оказание услуг по сервисному обслуживанию автоматов очистки воды на пл. №4 АО "НПО "Импульс" по адресу:                 г. Санкт-Петербург, ул. Киришская, д.2, литера "А"</v>
      </c>
      <c r="C56" s="282" t="str">
        <f>РПЗ!$AA56</f>
        <v>Служба Главного Инженера Мартьянов Александр Георгиевич              594-57-66</v>
      </c>
      <c r="D56" s="15" t="str">
        <f>РПЗ!$AB56</f>
        <v>Заказчик</v>
      </c>
      <c r="E56" s="692"/>
      <c r="F56" s="282" t="str">
        <f>РПЗ!Q56</f>
        <v xml:space="preserve">ОЗК </v>
      </c>
      <c r="G56" s="287"/>
      <c r="H56" s="287" t="str">
        <f>РПЗ!R56</f>
        <v>Да</v>
      </c>
      <c r="I56" s="15" t="str">
        <f>РПЗ!W56</f>
        <v>Не применимо</v>
      </c>
      <c r="J56" s="282" t="str">
        <f>РПЗ!X56</f>
        <v>Не применимо</v>
      </c>
      <c r="K56" s="336" t="str">
        <f>РПЗ!Z56</f>
        <v>Не применимо</v>
      </c>
      <c r="L56" s="17"/>
      <c r="M56" s="18">
        <f>РПЗ!O56</f>
        <v>42736</v>
      </c>
      <c r="N56" s="289"/>
      <c r="O56" s="17"/>
      <c r="P56" s="17"/>
      <c r="Q56" s="17"/>
      <c r="R56" s="17"/>
      <c r="S56" s="17"/>
      <c r="T56" s="17"/>
      <c r="U56" s="18">
        <f>РПЗ!P56</f>
        <v>43070</v>
      </c>
      <c r="V56" s="17"/>
      <c r="W56" s="285">
        <f>РПЗ!L56</f>
        <v>150000</v>
      </c>
      <c r="X56" s="286"/>
      <c r="Y56" s="286"/>
      <c r="Z56" s="300"/>
      <c r="AA56" s="287"/>
      <c r="AB56" s="116"/>
      <c r="AC56" s="17"/>
      <c r="AD56" s="288"/>
      <c r="AE56" s="17"/>
      <c r="AF56" s="287"/>
      <c r="AG56" s="116"/>
      <c r="AH56" s="285" t="str">
        <f>IF(Таблица5[[#This Row],[30]]=0,"НД",Таблица5[[#This Row],[20]]-Таблица5[[#This Row],[30]])</f>
        <v>НД</v>
      </c>
      <c r="AI56" s="693" t="str">
        <f>IF(((1-Таблица5[[#This Row],[30]]/Таблица5[[#This Row],[20]])=1),"НД",(1-Таблица5[[#This Row],[30]]/Таблица5[[#This Row],[20]]))</f>
        <v>НД</v>
      </c>
      <c r="AJ56" s="116"/>
      <c r="AK56" s="116"/>
      <c r="AL56" s="694"/>
      <c r="AM56" s="51"/>
      <c r="AN56" s="288"/>
      <c r="AO56" s="377">
        <f>IF(Таблица5[[#This Row],[11]]=0,,MONTH(Таблица5[[#This Row],[11]]))</f>
        <v>0</v>
      </c>
    </row>
    <row r="57" spans="1:41" ht="80.099999999999994" customHeight="1" x14ac:dyDescent="0.25">
      <c r="A57" s="282" t="str">
        <f t="shared" si="0"/>
        <v>0645-00042</v>
      </c>
      <c r="B57" s="282" t="str">
        <f>РПЗ!$D57</f>
        <v>0645-00042. Обслуживание, ремонт огнетушителей, продажа коплектующих и новых порошковых и углекислотных огнетушителей.</v>
      </c>
      <c r="C57" s="282" t="str">
        <f>РПЗ!$AA57</f>
        <v>Служба Главного Инженера Мартьянов Александр Георгиевич              594-57-66</v>
      </c>
      <c r="D57" s="15" t="str">
        <f>РПЗ!$AB57</f>
        <v>Заказчик</v>
      </c>
      <c r="E57" s="692"/>
      <c r="F57" s="282" t="str">
        <f>РПЗ!Q57</f>
        <v>ЕП</v>
      </c>
      <c r="G57" s="287"/>
      <c r="H57" s="287" t="str">
        <f>РПЗ!R57</f>
        <v>Нет</v>
      </c>
      <c r="I57" s="15" t="str">
        <f>РПЗ!W57</f>
        <v>6.6.2(14)</v>
      </c>
      <c r="J57" s="282">
        <f>РПЗ!X57</f>
        <v>7704867113</v>
      </c>
      <c r="K57" s="336">
        <f>РПЗ!Z57</f>
        <v>150000</v>
      </c>
      <c r="L57" s="17"/>
      <c r="M57" s="18">
        <f>РПЗ!O57</f>
        <v>42736</v>
      </c>
      <c r="N57" s="289"/>
      <c r="O57" s="17"/>
      <c r="P57" s="17"/>
      <c r="Q57" s="17"/>
      <c r="R57" s="17"/>
      <c r="S57" s="17"/>
      <c r="T57" s="17"/>
      <c r="U57" s="18">
        <f>РПЗ!P57</f>
        <v>43070</v>
      </c>
      <c r="V57" s="17"/>
      <c r="W57" s="285">
        <f>РПЗ!L57</f>
        <v>150000</v>
      </c>
      <c r="X57" s="286"/>
      <c r="Y57" s="286"/>
      <c r="Z57" s="300"/>
      <c r="AA57" s="287"/>
      <c r="AB57" s="116"/>
      <c r="AC57" s="17"/>
      <c r="AD57" s="288"/>
      <c r="AE57" s="17"/>
      <c r="AF57" s="287"/>
      <c r="AG57" s="116"/>
      <c r="AH57" s="285" t="str">
        <f>IF(Таблица5[[#This Row],[30]]=0,"НД",Таблица5[[#This Row],[20]]-Таблица5[[#This Row],[30]])</f>
        <v>НД</v>
      </c>
      <c r="AI57" s="693" t="str">
        <f>IF(((1-Таблица5[[#This Row],[30]]/Таблица5[[#This Row],[20]])=1),"НД",(1-Таблица5[[#This Row],[30]]/Таблица5[[#This Row],[20]]))</f>
        <v>НД</v>
      </c>
      <c r="AJ57" s="116"/>
      <c r="AK57" s="116"/>
      <c r="AL57" s="694"/>
      <c r="AM57" s="51"/>
      <c r="AN57" s="288"/>
      <c r="AO57" s="377">
        <f>IF(Таблица5[[#This Row],[11]]=0,,MONTH(Таблица5[[#This Row],[11]]))</f>
        <v>0</v>
      </c>
    </row>
    <row r="58" spans="1:41" ht="80.099999999999994" customHeight="1" x14ac:dyDescent="0.25">
      <c r="A58" s="282" t="str">
        <f t="shared" si="0"/>
        <v>0645-00043</v>
      </c>
      <c r="B58" s="282" t="str">
        <f>РПЗ!$D58</f>
        <v>0645-00043. Проведение зкспертизы кран-балок АО "НПО "Импульс"</v>
      </c>
      <c r="C58" s="282" t="str">
        <f>РПЗ!$AA58</f>
        <v>Служба Главного Инженера Мартьянов Александр Георгиевич              594-57-66</v>
      </c>
      <c r="D58" s="15" t="str">
        <f>РПЗ!$AB58</f>
        <v>Заказчик</v>
      </c>
      <c r="E58" s="692"/>
      <c r="F58" s="282" t="str">
        <f>РПЗ!Q58</f>
        <v xml:space="preserve">ОЗК </v>
      </c>
      <c r="G58" s="287"/>
      <c r="H58" s="287" t="str">
        <f>РПЗ!R58</f>
        <v>Да</v>
      </c>
      <c r="I58" s="15" t="str">
        <f>РПЗ!W58</f>
        <v>Не применимо</v>
      </c>
      <c r="J58" s="282" t="str">
        <f>РПЗ!X58</f>
        <v>Не применимо</v>
      </c>
      <c r="K58" s="336" t="str">
        <f>РПЗ!Z58</f>
        <v>Не применимо</v>
      </c>
      <c r="L58" s="17"/>
      <c r="M58" s="18">
        <f>РПЗ!O58</f>
        <v>42856</v>
      </c>
      <c r="N58" s="289"/>
      <c r="O58" s="17"/>
      <c r="P58" s="17"/>
      <c r="Q58" s="17"/>
      <c r="R58" s="17"/>
      <c r="S58" s="17"/>
      <c r="T58" s="17"/>
      <c r="U58" s="18">
        <f>РПЗ!P58</f>
        <v>42917</v>
      </c>
      <c r="V58" s="17"/>
      <c r="W58" s="285">
        <f>РПЗ!L58</f>
        <v>300000</v>
      </c>
      <c r="X58" s="286"/>
      <c r="Y58" s="286"/>
      <c r="Z58" s="300"/>
      <c r="AA58" s="287"/>
      <c r="AB58" s="116"/>
      <c r="AC58" s="17"/>
      <c r="AD58" s="288"/>
      <c r="AE58" s="17"/>
      <c r="AF58" s="287"/>
      <c r="AG58" s="116"/>
      <c r="AH58" s="285" t="str">
        <f>IF(Таблица5[[#This Row],[30]]=0,"НД",Таблица5[[#This Row],[20]]-Таблица5[[#This Row],[30]])</f>
        <v>НД</v>
      </c>
      <c r="AI58" s="693" t="str">
        <f>IF(((1-Таблица5[[#This Row],[30]]/Таблица5[[#This Row],[20]])=1),"НД",(1-Таблица5[[#This Row],[30]]/Таблица5[[#This Row],[20]]))</f>
        <v>НД</v>
      </c>
      <c r="AJ58" s="116"/>
      <c r="AK58" s="116"/>
      <c r="AL58" s="694"/>
      <c r="AM58" s="51"/>
      <c r="AN58" s="288"/>
      <c r="AO58" s="377">
        <f>IF(Таблица5[[#This Row],[11]]=0,,MONTH(Таблица5[[#This Row],[11]]))</f>
        <v>0</v>
      </c>
    </row>
    <row r="59" spans="1:41" ht="80.099999999999994" customHeight="1" x14ac:dyDescent="0.25">
      <c r="A59" s="282" t="str">
        <f t="shared" si="0"/>
        <v>0645-00044</v>
      </c>
      <c r="B59" s="282" t="str">
        <f>РПЗ!$D59</f>
        <v>0645-00044. Организация подготовки, прведения комплекса работ по обеспечению участия НПО "Импульс" в форуме "Армия-2017"</v>
      </c>
      <c r="C59" s="282" t="str">
        <f>РПЗ!$AA59</f>
        <v>ОБТ, Корнетова Надежда Павловна, 590-55-12</v>
      </c>
      <c r="D59" s="15" t="str">
        <f>РПЗ!$AB59</f>
        <v>ООО "РТ-Экспо"</v>
      </c>
      <c r="E59" s="692"/>
      <c r="F59" s="282" t="str">
        <f>РПЗ!Q59</f>
        <v>ЕП</v>
      </c>
      <c r="G59" s="287"/>
      <c r="H59" s="287" t="str">
        <f>РПЗ!R59</f>
        <v>Нет</v>
      </c>
      <c r="I59" s="15" t="str">
        <f>РПЗ!W59</f>
        <v>6.6.2(26)</v>
      </c>
      <c r="J59" s="282">
        <f>РПЗ!X59</f>
        <v>7717668394</v>
      </c>
      <c r="K59" s="336">
        <f>РПЗ!Z59</f>
        <v>643000</v>
      </c>
      <c r="L59" s="17"/>
      <c r="M59" s="18">
        <f>РПЗ!O59</f>
        <v>42979</v>
      </c>
      <c r="N59" s="289"/>
      <c r="O59" s="17"/>
      <c r="P59" s="17"/>
      <c r="Q59" s="17"/>
      <c r="R59" s="17"/>
      <c r="S59" s="17"/>
      <c r="T59" s="17"/>
      <c r="U59" s="18">
        <f>РПЗ!P59</f>
        <v>43009</v>
      </c>
      <c r="V59" s="17"/>
      <c r="W59" s="285">
        <f>РПЗ!L59</f>
        <v>643000</v>
      </c>
      <c r="X59" s="286"/>
      <c r="Y59" s="286"/>
      <c r="Z59" s="300"/>
      <c r="AA59" s="287"/>
      <c r="AB59" s="116"/>
      <c r="AC59" s="17"/>
      <c r="AD59" s="288"/>
      <c r="AE59" s="17"/>
      <c r="AF59" s="287"/>
      <c r="AG59" s="116"/>
      <c r="AH59" s="285" t="str">
        <f>IF(Таблица5[[#This Row],[30]]=0,"НД",Таблица5[[#This Row],[20]]-Таблица5[[#This Row],[30]])</f>
        <v>НД</v>
      </c>
      <c r="AI59" s="693" t="str">
        <f>IF(((1-Таблица5[[#This Row],[30]]/Таблица5[[#This Row],[20]])=1),"НД",(1-Таблица5[[#This Row],[30]]/Таблица5[[#This Row],[20]]))</f>
        <v>НД</v>
      </c>
      <c r="AJ59" s="116"/>
      <c r="AK59" s="116"/>
      <c r="AL59" s="694"/>
      <c r="AM59" s="51"/>
      <c r="AN59" s="288"/>
      <c r="AO59" s="377">
        <f>IF(Таблица5[[#This Row],[11]]=0,,MONTH(Таблица5[[#This Row],[11]]))</f>
        <v>0</v>
      </c>
    </row>
    <row r="60" spans="1:41" ht="80.099999999999994" customHeight="1" x14ac:dyDescent="0.25">
      <c r="A60" s="282" t="str">
        <f t="shared" si="0"/>
        <v>0645-00045</v>
      </c>
      <c r="B60" s="282" t="str">
        <f>РПЗ!$D60</f>
        <v xml:space="preserve">0645-00045.  Поставка резисторов  </v>
      </c>
      <c r="C60" s="282" t="str">
        <f>РПЗ!$AA60</f>
        <v>Коммерческий отдел Дорохов Виктор Николаевич +7(812) 532-78-22</v>
      </c>
      <c r="D60" s="15" t="str">
        <f>РПЗ!$AB60</f>
        <v>Заказчик</v>
      </c>
      <c r="E60" s="692"/>
      <c r="F60" s="282" t="str">
        <f>РПЗ!Q60</f>
        <v>ОЗК</v>
      </c>
      <c r="G60" s="287"/>
      <c r="H60" s="287" t="str">
        <f>РПЗ!R60</f>
        <v>Да</v>
      </c>
      <c r="I60" s="15" t="str">
        <f>РПЗ!W60</f>
        <v>не применимо</v>
      </c>
      <c r="J60" s="282" t="str">
        <f>РПЗ!X60</f>
        <v>не применимо</v>
      </c>
      <c r="K60" s="336" t="str">
        <f>РПЗ!Z60</f>
        <v>не применимо</v>
      </c>
      <c r="L60" s="17"/>
      <c r="M60" s="18">
        <f>РПЗ!O60</f>
        <v>42767</v>
      </c>
      <c r="N60" s="289"/>
      <c r="O60" s="17"/>
      <c r="P60" s="17"/>
      <c r="Q60" s="17"/>
      <c r="R60" s="17"/>
      <c r="S60" s="17"/>
      <c r="T60" s="17"/>
      <c r="U60" s="18">
        <f>РПЗ!P60</f>
        <v>42856</v>
      </c>
      <c r="V60" s="17"/>
      <c r="W60" s="285">
        <f>РПЗ!L60</f>
        <v>246000</v>
      </c>
      <c r="X60" s="286"/>
      <c r="Y60" s="286"/>
      <c r="Z60" s="300"/>
      <c r="AA60" s="287"/>
      <c r="AB60" s="116"/>
      <c r="AC60" s="17"/>
      <c r="AD60" s="288"/>
      <c r="AE60" s="17"/>
      <c r="AF60" s="287"/>
      <c r="AG60" s="116"/>
      <c r="AH60" s="285" t="str">
        <f>IF(Таблица5[[#This Row],[30]]=0,"НД",Таблица5[[#This Row],[20]]-Таблица5[[#This Row],[30]])</f>
        <v>НД</v>
      </c>
      <c r="AI60" s="693" t="str">
        <f>IF(((1-Таблица5[[#This Row],[30]]/Таблица5[[#This Row],[20]])=1),"НД",(1-Таблица5[[#This Row],[30]]/Таблица5[[#This Row],[20]]))</f>
        <v>НД</v>
      </c>
      <c r="AJ60" s="116"/>
      <c r="AK60" s="116"/>
      <c r="AL60" s="694"/>
      <c r="AM60" s="51"/>
      <c r="AN60" s="288"/>
      <c r="AO60" s="377">
        <f>IF(Таблица5[[#This Row],[11]]=0,,MONTH(Таблица5[[#This Row],[11]]))</f>
        <v>0</v>
      </c>
    </row>
    <row r="61" spans="1:41" ht="80.099999999999994" customHeight="1" x14ac:dyDescent="0.25">
      <c r="A61" s="282" t="str">
        <f t="shared" si="0"/>
        <v>0645-00046</v>
      </c>
      <c r="B61" s="282" t="str">
        <f>РПЗ!$D61</f>
        <v xml:space="preserve"> 0645-00046. Поставка резисторов  </v>
      </c>
      <c r="C61" s="282" t="str">
        <f>РПЗ!$AA61</f>
        <v>Коммерческий отдел Дорохов Виктор Николаевич +7(812) 532-78-22</v>
      </c>
      <c r="D61" s="15" t="str">
        <f>РПЗ!$AB61</f>
        <v>Заказчик</v>
      </c>
      <c r="E61" s="692"/>
      <c r="F61" s="282" t="str">
        <f>РПЗ!Q61</f>
        <v>ОЗК</v>
      </c>
      <c r="G61" s="287"/>
      <c r="H61" s="287" t="str">
        <f>РПЗ!R61</f>
        <v>Да</v>
      </c>
      <c r="I61" s="15" t="str">
        <f>РПЗ!W61</f>
        <v>не применимо</v>
      </c>
      <c r="J61" s="282" t="str">
        <f>РПЗ!X61</f>
        <v>не применимо</v>
      </c>
      <c r="K61" s="336" t="str">
        <f>РПЗ!Z61</f>
        <v>не применимо</v>
      </c>
      <c r="L61" s="17"/>
      <c r="M61" s="18">
        <f>РПЗ!O61</f>
        <v>42826</v>
      </c>
      <c r="N61" s="289"/>
      <c r="O61" s="17"/>
      <c r="P61" s="17"/>
      <c r="Q61" s="17"/>
      <c r="R61" s="17"/>
      <c r="S61" s="17"/>
      <c r="T61" s="17"/>
      <c r="U61" s="18">
        <f>РПЗ!P61</f>
        <v>42917</v>
      </c>
      <c r="V61" s="17"/>
      <c r="W61" s="285">
        <f>РПЗ!L61</f>
        <v>492000</v>
      </c>
      <c r="X61" s="286"/>
      <c r="Y61" s="286"/>
      <c r="Z61" s="300"/>
      <c r="AA61" s="287"/>
      <c r="AB61" s="116"/>
      <c r="AC61" s="17"/>
      <c r="AD61" s="288"/>
      <c r="AE61" s="17"/>
      <c r="AF61" s="287"/>
      <c r="AG61" s="116"/>
      <c r="AH61" s="285" t="str">
        <f>IF(Таблица5[[#This Row],[30]]=0,"НД",Таблица5[[#This Row],[20]]-Таблица5[[#This Row],[30]])</f>
        <v>НД</v>
      </c>
      <c r="AI61" s="693" t="str">
        <f>IF(((1-Таблица5[[#This Row],[30]]/Таблица5[[#This Row],[20]])=1),"НД",(1-Таблица5[[#This Row],[30]]/Таблица5[[#This Row],[20]]))</f>
        <v>НД</v>
      </c>
      <c r="AJ61" s="116"/>
      <c r="AK61" s="116"/>
      <c r="AL61" s="694"/>
      <c r="AM61" s="51"/>
      <c r="AN61" s="288"/>
      <c r="AO61" s="377">
        <f>IF(Таблица5[[#This Row],[11]]=0,,MONTH(Таблица5[[#This Row],[11]]))</f>
        <v>0</v>
      </c>
    </row>
    <row r="62" spans="1:41" ht="80.099999999999994" customHeight="1" x14ac:dyDescent="0.25">
      <c r="A62" s="282" t="str">
        <f t="shared" si="0"/>
        <v>0645-00047</v>
      </c>
      <c r="B62" s="282" t="str">
        <f>РПЗ!$D62</f>
        <v xml:space="preserve"> 0645-00047. Поставка резисторов  </v>
      </c>
      <c r="C62" s="282" t="str">
        <f>РПЗ!$AA62</f>
        <v>Коммерческий отдел Дорохов Виктор Николаевич +7(812) 532-78-22</v>
      </c>
      <c r="D62" s="15" t="str">
        <f>РПЗ!$AB62</f>
        <v>Заказчик</v>
      </c>
      <c r="E62" s="692"/>
      <c r="F62" s="282" t="str">
        <f>РПЗ!Q62</f>
        <v>ОЗК</v>
      </c>
      <c r="G62" s="287"/>
      <c r="H62" s="287" t="str">
        <f>РПЗ!R62</f>
        <v>Да</v>
      </c>
      <c r="I62" s="15" t="str">
        <f>РПЗ!W62</f>
        <v>не применимо</v>
      </c>
      <c r="J62" s="282" t="str">
        <f>РПЗ!X62</f>
        <v>не применимо</v>
      </c>
      <c r="K62" s="336" t="str">
        <f>РПЗ!Z62</f>
        <v>не применимо</v>
      </c>
      <c r="L62" s="17"/>
      <c r="M62" s="18">
        <f>РПЗ!O62</f>
        <v>42979</v>
      </c>
      <c r="N62" s="289"/>
      <c r="O62" s="17"/>
      <c r="P62" s="17"/>
      <c r="Q62" s="17"/>
      <c r="R62" s="17"/>
      <c r="S62" s="17"/>
      <c r="T62" s="17"/>
      <c r="U62" s="18">
        <f>РПЗ!P62</f>
        <v>43070</v>
      </c>
      <c r="V62" s="17"/>
      <c r="W62" s="285">
        <f>РПЗ!L62</f>
        <v>1230000</v>
      </c>
      <c r="X62" s="286"/>
      <c r="Y62" s="286"/>
      <c r="Z62" s="300"/>
      <c r="AA62" s="287"/>
      <c r="AB62" s="116"/>
      <c r="AC62" s="17"/>
      <c r="AD62" s="288"/>
      <c r="AE62" s="17"/>
      <c r="AF62" s="287"/>
      <c r="AG62" s="116"/>
      <c r="AH62" s="285" t="str">
        <f>IF(Таблица5[[#This Row],[30]]=0,"НД",Таблица5[[#This Row],[20]]-Таблица5[[#This Row],[30]])</f>
        <v>НД</v>
      </c>
      <c r="AI62" s="693" t="str">
        <f>IF(((1-Таблица5[[#This Row],[30]]/Таблица5[[#This Row],[20]])=1),"НД",(1-Таблица5[[#This Row],[30]]/Таблица5[[#This Row],[20]]))</f>
        <v>НД</v>
      </c>
      <c r="AJ62" s="116"/>
      <c r="AK62" s="116"/>
      <c r="AL62" s="694"/>
      <c r="AM62" s="51"/>
      <c r="AN62" s="288"/>
      <c r="AO62" s="377">
        <f>IF(Таблица5[[#This Row],[11]]=0,,MONTH(Таблица5[[#This Row],[11]]))</f>
        <v>0</v>
      </c>
    </row>
    <row r="63" spans="1:41" ht="80.099999999999994" customHeight="1" x14ac:dyDescent="0.25">
      <c r="A63" s="282" t="str">
        <f t="shared" si="0"/>
        <v>0645-00048</v>
      </c>
      <c r="B63" s="282" t="str">
        <f>РПЗ!$D63</f>
        <v xml:space="preserve"> 0645-00048. Поставка конденсаторов и фильтров</v>
      </c>
      <c r="C63" s="282" t="str">
        <f>РПЗ!$AA63</f>
        <v>Коммерческий отдел Дорохов Виктор Николаевич +7(812) 532-78-22</v>
      </c>
      <c r="D63" s="15" t="str">
        <f>РПЗ!$AB63</f>
        <v>Заказчик</v>
      </c>
      <c r="E63" s="692"/>
      <c r="F63" s="282" t="str">
        <f>РПЗ!Q63</f>
        <v>ОЗК</v>
      </c>
      <c r="G63" s="287"/>
      <c r="H63" s="287" t="str">
        <f>РПЗ!R63</f>
        <v>Да</v>
      </c>
      <c r="I63" s="15" t="str">
        <f>РПЗ!W63</f>
        <v>не применимо</v>
      </c>
      <c r="J63" s="282" t="str">
        <f>РПЗ!X63</f>
        <v>не применимо</v>
      </c>
      <c r="K63" s="336" t="str">
        <f>РПЗ!Z63</f>
        <v>не применимо</v>
      </c>
      <c r="L63" s="17"/>
      <c r="M63" s="18">
        <f>РПЗ!O63</f>
        <v>42795</v>
      </c>
      <c r="N63" s="289"/>
      <c r="O63" s="17"/>
      <c r="P63" s="17"/>
      <c r="Q63" s="17"/>
      <c r="R63" s="17"/>
      <c r="S63" s="17"/>
      <c r="T63" s="17"/>
      <c r="U63" s="18">
        <f>РПЗ!P63</f>
        <v>42979</v>
      </c>
      <c r="V63" s="17"/>
      <c r="W63" s="285">
        <f>РПЗ!L63</f>
        <v>1472000</v>
      </c>
      <c r="X63" s="286"/>
      <c r="Y63" s="286"/>
      <c r="Z63" s="300"/>
      <c r="AA63" s="287"/>
      <c r="AB63" s="116"/>
      <c r="AC63" s="17"/>
      <c r="AD63" s="288"/>
      <c r="AE63" s="17"/>
      <c r="AF63" s="287"/>
      <c r="AG63" s="116"/>
      <c r="AH63" s="285" t="str">
        <f>IF(Таблица5[[#This Row],[30]]=0,"НД",Таблица5[[#This Row],[20]]-Таблица5[[#This Row],[30]])</f>
        <v>НД</v>
      </c>
      <c r="AI63" s="693" t="str">
        <f>IF(((1-Таблица5[[#This Row],[30]]/Таблица5[[#This Row],[20]])=1),"НД",(1-Таблица5[[#This Row],[30]]/Таблица5[[#This Row],[20]]))</f>
        <v>НД</v>
      </c>
      <c r="AJ63" s="116"/>
      <c r="AK63" s="116"/>
      <c r="AL63" s="694"/>
      <c r="AM63" s="51"/>
      <c r="AN63" s="288"/>
      <c r="AO63" s="377">
        <f>IF(Таблица5[[#This Row],[11]]=0,,MONTH(Таблица5[[#This Row],[11]]))</f>
        <v>0</v>
      </c>
    </row>
    <row r="64" spans="1:41" ht="80.099999999999994" customHeight="1" x14ac:dyDescent="0.25">
      <c r="A64" s="282" t="str">
        <f t="shared" si="0"/>
        <v>0645-00049</v>
      </c>
      <c r="B64" s="282" t="str">
        <f>РПЗ!$D64</f>
        <v xml:space="preserve"> 0645-00049. Поставка конденсаторов</v>
      </c>
      <c r="C64" s="282" t="str">
        <f>РПЗ!$AA64</f>
        <v>Коммерческий отдел Дорохов Виктор Николаевич +7(812) 532-78-22</v>
      </c>
      <c r="D64" s="15" t="str">
        <f>РПЗ!$AB64</f>
        <v>Заказчик</v>
      </c>
      <c r="E64" s="692"/>
      <c r="F64" s="282" t="str">
        <f>РПЗ!Q64</f>
        <v>ОЗК</v>
      </c>
      <c r="G64" s="287"/>
      <c r="H64" s="287" t="str">
        <f>РПЗ!R64</f>
        <v>Да</v>
      </c>
      <c r="I64" s="15" t="str">
        <f>РПЗ!W64</f>
        <v>не применимо</v>
      </c>
      <c r="J64" s="282" t="str">
        <f>РПЗ!X64</f>
        <v>не применимо</v>
      </c>
      <c r="K64" s="336" t="str">
        <f>РПЗ!Z64</f>
        <v>не применимо</v>
      </c>
      <c r="L64" s="17"/>
      <c r="M64" s="18">
        <f>РПЗ!O64</f>
        <v>42826</v>
      </c>
      <c r="N64" s="289"/>
      <c r="O64" s="17"/>
      <c r="P64" s="17"/>
      <c r="Q64" s="17"/>
      <c r="R64" s="17"/>
      <c r="S64" s="17"/>
      <c r="T64" s="17"/>
      <c r="U64" s="18">
        <f>РПЗ!P64</f>
        <v>43009</v>
      </c>
      <c r="V64" s="17"/>
      <c r="W64" s="285">
        <f>РПЗ!L64</f>
        <v>1968600</v>
      </c>
      <c r="X64" s="286"/>
      <c r="Y64" s="286"/>
      <c r="Z64" s="300"/>
      <c r="AA64" s="287"/>
      <c r="AB64" s="116"/>
      <c r="AC64" s="17"/>
      <c r="AD64" s="288"/>
      <c r="AE64" s="17"/>
      <c r="AF64" s="287"/>
      <c r="AG64" s="116"/>
      <c r="AH64" s="285" t="str">
        <f>IF(Таблица5[[#This Row],[30]]=0,"НД",Таблица5[[#This Row],[20]]-Таблица5[[#This Row],[30]])</f>
        <v>НД</v>
      </c>
      <c r="AI64" s="693" t="str">
        <f>IF(((1-Таблица5[[#This Row],[30]]/Таблица5[[#This Row],[20]])=1),"НД",(1-Таблица5[[#This Row],[30]]/Таблица5[[#This Row],[20]]))</f>
        <v>НД</v>
      </c>
      <c r="AJ64" s="116"/>
      <c r="AK64" s="116"/>
      <c r="AL64" s="694"/>
      <c r="AM64" s="51"/>
      <c r="AN64" s="288"/>
      <c r="AO64" s="377">
        <f>IF(Таблица5[[#This Row],[11]]=0,,MONTH(Таблица5[[#This Row],[11]]))</f>
        <v>0</v>
      </c>
    </row>
    <row r="65" spans="1:41" ht="80.099999999999994" customHeight="1" x14ac:dyDescent="0.25">
      <c r="A65" s="282" t="str">
        <f t="shared" si="0"/>
        <v>0645-00050</v>
      </c>
      <c r="B65" s="282" t="str">
        <f>РПЗ!$D65</f>
        <v xml:space="preserve"> 0645-00050. Поставка конденсаторов и фильтров</v>
      </c>
      <c r="C65" s="282" t="str">
        <f>РПЗ!$AA65</f>
        <v>Коммерческий отдел Дорохов Виктор Николаевич +7(812) 532-78-22</v>
      </c>
      <c r="D65" s="15" t="str">
        <f>РПЗ!$AB65</f>
        <v>Заказчик</v>
      </c>
      <c r="E65" s="692"/>
      <c r="F65" s="282" t="str">
        <f>РПЗ!Q65</f>
        <v>ОЗК</v>
      </c>
      <c r="G65" s="287"/>
      <c r="H65" s="287" t="str">
        <f>РПЗ!R65</f>
        <v>Да</v>
      </c>
      <c r="I65" s="15" t="str">
        <f>РПЗ!W65</f>
        <v>не применимо</v>
      </c>
      <c r="J65" s="282" t="str">
        <f>РПЗ!X65</f>
        <v>не применимо</v>
      </c>
      <c r="K65" s="336" t="str">
        <f>РПЗ!Z65</f>
        <v>не применимо</v>
      </c>
      <c r="L65" s="17"/>
      <c r="M65" s="18">
        <f>РПЗ!O65</f>
        <v>42917</v>
      </c>
      <c r="N65" s="289"/>
      <c r="O65" s="17"/>
      <c r="P65" s="17"/>
      <c r="Q65" s="17"/>
      <c r="R65" s="17"/>
      <c r="S65" s="17"/>
      <c r="T65" s="17"/>
      <c r="U65" s="18">
        <f>РПЗ!P65</f>
        <v>43040</v>
      </c>
      <c r="V65" s="17"/>
      <c r="W65" s="285">
        <f>РПЗ!L65</f>
        <v>2624800</v>
      </c>
      <c r="X65" s="286"/>
      <c r="Y65" s="286"/>
      <c r="Z65" s="300"/>
      <c r="AA65" s="287"/>
      <c r="AB65" s="116"/>
      <c r="AC65" s="17"/>
      <c r="AD65" s="288"/>
      <c r="AE65" s="17"/>
      <c r="AF65" s="287"/>
      <c r="AG65" s="116"/>
      <c r="AH65" s="285" t="str">
        <f>IF(Таблица5[[#This Row],[30]]=0,"НД",Таблица5[[#This Row],[20]]-Таблица5[[#This Row],[30]])</f>
        <v>НД</v>
      </c>
      <c r="AI65" s="693" t="str">
        <f>IF(((1-Таблица5[[#This Row],[30]]/Таблица5[[#This Row],[20]])=1),"НД",(1-Таблица5[[#This Row],[30]]/Таблица5[[#This Row],[20]]))</f>
        <v>НД</v>
      </c>
      <c r="AJ65" s="116"/>
      <c r="AK65" s="116"/>
      <c r="AL65" s="694"/>
      <c r="AM65" s="51"/>
      <c r="AN65" s="288"/>
      <c r="AO65" s="377">
        <f>IF(Таблица5[[#This Row],[11]]=0,,MONTH(Таблица5[[#This Row],[11]]))</f>
        <v>0</v>
      </c>
    </row>
    <row r="66" spans="1:41" ht="80.099999999999994" customHeight="1" x14ac:dyDescent="0.25">
      <c r="A66" s="282" t="str">
        <f t="shared" si="0"/>
        <v>0645-00051</v>
      </c>
      <c r="B66" s="282" t="str">
        <f>РПЗ!$D66</f>
        <v xml:space="preserve"> 0645-00051. Поставка конденсаторов</v>
      </c>
      <c r="C66" s="282" t="str">
        <f>РПЗ!$AA66</f>
        <v>Коммерческий отдел Дорохов Виктор Николаевич +7(812) 532-78-22</v>
      </c>
      <c r="D66" s="15" t="str">
        <f>РПЗ!$AB66</f>
        <v>Заказчик</v>
      </c>
      <c r="E66" s="692"/>
      <c r="F66" s="282" t="str">
        <f>РПЗ!Q66</f>
        <v>ОЗК</v>
      </c>
      <c r="G66" s="287"/>
      <c r="H66" s="287" t="str">
        <f>РПЗ!R66</f>
        <v>Да</v>
      </c>
      <c r="I66" s="15" t="str">
        <f>РПЗ!W66</f>
        <v>не применимо</v>
      </c>
      <c r="J66" s="282" t="str">
        <f>РПЗ!X66</f>
        <v>не применимо</v>
      </c>
      <c r="K66" s="336" t="str">
        <f>РПЗ!Z66</f>
        <v>не применимо</v>
      </c>
      <c r="L66" s="17"/>
      <c r="M66" s="18">
        <f>РПЗ!O66</f>
        <v>42979</v>
      </c>
      <c r="N66" s="289"/>
      <c r="O66" s="17"/>
      <c r="P66" s="17"/>
      <c r="Q66" s="17"/>
      <c r="R66" s="17"/>
      <c r="S66" s="17"/>
      <c r="T66" s="17"/>
      <c r="U66" s="18">
        <f>РПЗ!P66</f>
        <v>43070</v>
      </c>
      <c r="V66" s="17"/>
      <c r="W66" s="285">
        <f>РПЗ!L66</f>
        <v>1312400</v>
      </c>
      <c r="X66" s="286"/>
      <c r="Y66" s="286"/>
      <c r="Z66" s="300"/>
      <c r="AA66" s="287"/>
      <c r="AB66" s="116"/>
      <c r="AC66" s="17"/>
      <c r="AD66" s="288"/>
      <c r="AE66" s="17"/>
      <c r="AF66" s="287"/>
      <c r="AG66" s="116"/>
      <c r="AH66" s="285" t="str">
        <f>IF(Таблица5[[#This Row],[30]]=0,"НД",Таблица5[[#This Row],[20]]-Таблица5[[#This Row],[30]])</f>
        <v>НД</v>
      </c>
      <c r="AI66" s="693" t="str">
        <f>IF(((1-Таблица5[[#This Row],[30]]/Таблица5[[#This Row],[20]])=1),"НД",(1-Таблица5[[#This Row],[30]]/Таблица5[[#This Row],[20]]))</f>
        <v>НД</v>
      </c>
      <c r="AJ66" s="116"/>
      <c r="AK66" s="116"/>
      <c r="AL66" s="694"/>
      <c r="AM66" s="51"/>
      <c r="AN66" s="288"/>
      <c r="AO66" s="377">
        <f>IF(Таблица5[[#This Row],[11]]=0,,MONTH(Таблица5[[#This Row],[11]]))</f>
        <v>0</v>
      </c>
    </row>
    <row r="67" spans="1:41" ht="80.099999999999994" customHeight="1" x14ac:dyDescent="0.25">
      <c r="A67" s="282" t="str">
        <f t="shared" si="0"/>
        <v>0645-00052</v>
      </c>
      <c r="B67" s="282" t="str">
        <f>РПЗ!$D67</f>
        <v xml:space="preserve"> 0645-00052. Поставка конденсаторов</v>
      </c>
      <c r="C67" s="282" t="str">
        <f>РПЗ!$AA67</f>
        <v>Коммерческий отдел Дорохов Виктор Николаевич +7(812) 532-78-22</v>
      </c>
      <c r="D67" s="15" t="str">
        <f>РПЗ!$AB67</f>
        <v>Заказчик</v>
      </c>
      <c r="E67" s="692"/>
      <c r="F67" s="282" t="str">
        <f>РПЗ!Q67</f>
        <v>ЕП</v>
      </c>
      <c r="G67" s="287"/>
      <c r="H67" s="287" t="str">
        <f>РПЗ!R67</f>
        <v>Нет</v>
      </c>
      <c r="I67" s="15" t="str">
        <f>РПЗ!W67</f>
        <v>6.6.2(10)</v>
      </c>
      <c r="J67" s="282">
        <f>РПЗ!X67</f>
        <v>7802144144</v>
      </c>
      <c r="K67" s="336">
        <f>РПЗ!Z67</f>
        <v>1100000</v>
      </c>
      <c r="L67" s="17"/>
      <c r="M67" s="18">
        <f>РПЗ!O67</f>
        <v>42826</v>
      </c>
      <c r="N67" s="289"/>
      <c r="O67" s="17"/>
      <c r="P67" s="17"/>
      <c r="Q67" s="17"/>
      <c r="R67" s="17"/>
      <c r="S67" s="17"/>
      <c r="T67" s="17"/>
      <c r="U67" s="18">
        <f>РПЗ!P67</f>
        <v>43070</v>
      </c>
      <c r="V67" s="17"/>
      <c r="W67" s="285">
        <f>РПЗ!L67</f>
        <v>1100000</v>
      </c>
      <c r="X67" s="286"/>
      <c r="Y67" s="286"/>
      <c r="Z67" s="300"/>
      <c r="AA67" s="287"/>
      <c r="AB67" s="116"/>
      <c r="AC67" s="17"/>
      <c r="AD67" s="288"/>
      <c r="AE67" s="17"/>
      <c r="AF67" s="287"/>
      <c r="AG67" s="116"/>
      <c r="AH67" s="285" t="str">
        <f>IF(Таблица5[[#This Row],[30]]=0,"НД",Таблица5[[#This Row],[20]]-Таблица5[[#This Row],[30]])</f>
        <v>НД</v>
      </c>
      <c r="AI67" s="693" t="str">
        <f>IF(((1-Таблица5[[#This Row],[30]]/Таблица5[[#This Row],[20]])=1),"НД",(1-Таблица5[[#This Row],[30]]/Таблица5[[#This Row],[20]]))</f>
        <v>НД</v>
      </c>
      <c r="AJ67" s="116"/>
      <c r="AK67" s="116"/>
      <c r="AL67" s="694"/>
      <c r="AM67" s="51"/>
      <c r="AN67" s="288"/>
      <c r="AO67" s="377">
        <f>IF(Таблица5[[#This Row],[11]]=0,,MONTH(Таблица5[[#This Row],[11]]))</f>
        <v>0</v>
      </c>
    </row>
    <row r="68" spans="1:41" ht="80.099999999999994" customHeight="1" x14ac:dyDescent="0.25">
      <c r="A68" s="282" t="str">
        <f t="shared" si="0"/>
        <v>0645-00053</v>
      </c>
      <c r="B68" s="282" t="str">
        <f>РПЗ!$D68</f>
        <v xml:space="preserve"> 0645-00053. Поставка микросхем и полупроводниковых приборов</v>
      </c>
      <c r="C68" s="282" t="str">
        <f>РПЗ!$AA68</f>
        <v>Коммерческий отдел Дорохов Виктор Николаевич +7(812) 532-78-22</v>
      </c>
      <c r="D68" s="15" t="str">
        <f>РПЗ!$AB68</f>
        <v>Заказчик</v>
      </c>
      <c r="E68" s="692"/>
      <c r="F68" s="282" t="str">
        <f>РПЗ!Q68</f>
        <v>ОЗК</v>
      </c>
      <c r="G68" s="287"/>
      <c r="H68" s="287" t="str">
        <f>РПЗ!R68</f>
        <v>Да</v>
      </c>
      <c r="I68" s="15" t="str">
        <f>РПЗ!W68</f>
        <v>не применимо</v>
      </c>
      <c r="J68" s="282" t="str">
        <f>РПЗ!X68</f>
        <v>не применимо</v>
      </c>
      <c r="K68" s="336" t="str">
        <f>РПЗ!Z68</f>
        <v>не применимо</v>
      </c>
      <c r="L68" s="17"/>
      <c r="M68" s="18">
        <f>РПЗ!O68</f>
        <v>42795</v>
      </c>
      <c r="N68" s="289"/>
      <c r="O68" s="17"/>
      <c r="P68" s="17"/>
      <c r="Q68" s="17"/>
      <c r="R68" s="17"/>
      <c r="S68" s="17"/>
      <c r="T68" s="17"/>
      <c r="U68" s="18">
        <f>РПЗ!P68</f>
        <v>42887</v>
      </c>
      <c r="V68" s="17"/>
      <c r="W68" s="285">
        <f>РПЗ!L68</f>
        <v>3366050</v>
      </c>
      <c r="X68" s="286"/>
      <c r="Y68" s="286"/>
      <c r="Z68" s="300"/>
      <c r="AA68" s="287"/>
      <c r="AB68" s="116"/>
      <c r="AC68" s="17"/>
      <c r="AD68" s="288"/>
      <c r="AE68" s="17"/>
      <c r="AF68" s="287"/>
      <c r="AG68" s="116"/>
      <c r="AH68" s="285" t="str">
        <f>IF(Таблица5[[#This Row],[30]]=0,"НД",Таблица5[[#This Row],[20]]-Таблица5[[#This Row],[30]])</f>
        <v>НД</v>
      </c>
      <c r="AI68" s="693" t="str">
        <f>IF(((1-Таблица5[[#This Row],[30]]/Таблица5[[#This Row],[20]])=1),"НД",(1-Таблица5[[#This Row],[30]]/Таблица5[[#This Row],[20]]))</f>
        <v>НД</v>
      </c>
      <c r="AJ68" s="116"/>
      <c r="AK68" s="116"/>
      <c r="AL68" s="694"/>
      <c r="AM68" s="51"/>
      <c r="AN68" s="288"/>
      <c r="AO68" s="377">
        <f>IF(Таблица5[[#This Row],[11]]=0,,MONTH(Таблица5[[#This Row],[11]]))</f>
        <v>0</v>
      </c>
    </row>
    <row r="69" spans="1:41" ht="80.099999999999994" customHeight="1" x14ac:dyDescent="0.25">
      <c r="A69" s="282" t="str">
        <f t="shared" si="0"/>
        <v>0645-00054</v>
      </c>
      <c r="B69" s="282" t="str">
        <f>РПЗ!$D69</f>
        <v>0645-00054.  Поставка микросхем и полупроводниковых приборов</v>
      </c>
      <c r="C69" s="282" t="str">
        <f>РПЗ!$AA69</f>
        <v>Коммерческий отдел Дорохов Виктор Николаевич +7(812) 532-78-22</v>
      </c>
      <c r="D69" s="15" t="str">
        <f>РПЗ!$AB69</f>
        <v>Заказчик</v>
      </c>
      <c r="E69" s="692"/>
      <c r="F69" s="282" t="str">
        <f>РПЗ!Q69</f>
        <v>ОЗК</v>
      </c>
      <c r="G69" s="287"/>
      <c r="H69" s="287" t="str">
        <f>РПЗ!R69</f>
        <v>Да</v>
      </c>
      <c r="I69" s="15" t="str">
        <f>РПЗ!W69</f>
        <v>не применимо</v>
      </c>
      <c r="J69" s="282" t="str">
        <f>РПЗ!X69</f>
        <v>не применимо</v>
      </c>
      <c r="K69" s="336" t="str">
        <f>РПЗ!Z69</f>
        <v>не применимо</v>
      </c>
      <c r="L69" s="17"/>
      <c r="M69" s="18">
        <f>РПЗ!O69</f>
        <v>42767</v>
      </c>
      <c r="N69" s="289"/>
      <c r="O69" s="17"/>
      <c r="P69" s="17"/>
      <c r="Q69" s="17"/>
      <c r="R69" s="17"/>
      <c r="S69" s="17"/>
      <c r="T69" s="17"/>
      <c r="U69" s="18">
        <f>РПЗ!P69</f>
        <v>42887</v>
      </c>
      <c r="V69" s="17"/>
      <c r="W69" s="285">
        <f>РПЗ!L69</f>
        <v>4712470</v>
      </c>
      <c r="X69" s="286"/>
      <c r="Y69" s="286"/>
      <c r="Z69" s="300"/>
      <c r="AA69" s="287"/>
      <c r="AB69" s="116"/>
      <c r="AC69" s="17"/>
      <c r="AD69" s="288"/>
      <c r="AE69" s="17"/>
      <c r="AF69" s="287"/>
      <c r="AG69" s="116"/>
      <c r="AH69" s="285" t="str">
        <f>IF(Таблица5[[#This Row],[30]]=0,"НД",Таблица5[[#This Row],[20]]-Таблица5[[#This Row],[30]])</f>
        <v>НД</v>
      </c>
      <c r="AI69" s="693" t="str">
        <f>IF(((1-Таблица5[[#This Row],[30]]/Таблица5[[#This Row],[20]])=1),"НД",(1-Таблица5[[#This Row],[30]]/Таблица5[[#This Row],[20]]))</f>
        <v>НД</v>
      </c>
      <c r="AJ69" s="116"/>
      <c r="AK69" s="116"/>
      <c r="AL69" s="694"/>
      <c r="AM69" s="51"/>
      <c r="AN69" s="288"/>
      <c r="AO69" s="377">
        <f>IF(Таблица5[[#This Row],[11]]=0,,MONTH(Таблица5[[#This Row],[11]]))</f>
        <v>0</v>
      </c>
    </row>
    <row r="70" spans="1:41" ht="80.099999999999994" customHeight="1" x14ac:dyDescent="0.25">
      <c r="A70" s="282" t="str">
        <f t="shared" si="0"/>
        <v>0645-00055</v>
      </c>
      <c r="B70" s="282" t="str">
        <f>РПЗ!$D70</f>
        <v>0645-00055.  Поставка микросхем и полупроводниковых приборов</v>
      </c>
      <c r="C70" s="282" t="str">
        <f>РПЗ!$AA70</f>
        <v>Коммерческий отдел Дорохов Виктор Николаевич +7(812) 532-78-22</v>
      </c>
      <c r="D70" s="15" t="str">
        <f>РПЗ!$AB70</f>
        <v>Заказчик</v>
      </c>
      <c r="E70" s="692"/>
      <c r="F70" s="282" t="str">
        <f>РПЗ!Q70</f>
        <v>ОЗК</v>
      </c>
      <c r="G70" s="287"/>
      <c r="H70" s="287" t="str">
        <f>РПЗ!R70</f>
        <v>Да</v>
      </c>
      <c r="I70" s="15" t="str">
        <f>РПЗ!W70</f>
        <v>не применимо</v>
      </c>
      <c r="J70" s="282" t="str">
        <f>РПЗ!X70</f>
        <v>не применимо</v>
      </c>
      <c r="K70" s="336" t="str">
        <f>РПЗ!Z70</f>
        <v>не применимо</v>
      </c>
      <c r="L70" s="17"/>
      <c r="M70" s="18">
        <f>РПЗ!O70</f>
        <v>42795</v>
      </c>
      <c r="N70" s="289"/>
      <c r="O70" s="17"/>
      <c r="P70" s="17"/>
      <c r="Q70" s="17"/>
      <c r="R70" s="17"/>
      <c r="S70" s="17"/>
      <c r="T70" s="17"/>
      <c r="U70" s="18">
        <f>РПЗ!P70</f>
        <v>42917</v>
      </c>
      <c r="V70" s="17"/>
      <c r="W70" s="285">
        <f>РПЗ!L70</f>
        <v>2356235</v>
      </c>
      <c r="X70" s="286"/>
      <c r="Y70" s="286"/>
      <c r="Z70" s="300"/>
      <c r="AA70" s="287"/>
      <c r="AB70" s="116"/>
      <c r="AC70" s="17"/>
      <c r="AD70" s="288"/>
      <c r="AE70" s="17"/>
      <c r="AF70" s="287"/>
      <c r="AG70" s="116"/>
      <c r="AH70" s="285" t="str">
        <f>IF(Таблица5[[#This Row],[30]]=0,"НД",Таблица5[[#This Row],[20]]-Таблица5[[#This Row],[30]])</f>
        <v>НД</v>
      </c>
      <c r="AI70" s="693" t="str">
        <f>IF(((1-Таблица5[[#This Row],[30]]/Таблица5[[#This Row],[20]])=1),"НД",(1-Таблица5[[#This Row],[30]]/Таблица5[[#This Row],[20]]))</f>
        <v>НД</v>
      </c>
      <c r="AJ70" s="116"/>
      <c r="AK70" s="116"/>
      <c r="AL70" s="694"/>
      <c r="AM70" s="51"/>
      <c r="AN70" s="288"/>
      <c r="AO70" s="377">
        <f>IF(Таблица5[[#This Row],[11]]=0,,MONTH(Таблица5[[#This Row],[11]]))</f>
        <v>0</v>
      </c>
    </row>
    <row r="71" spans="1:41" ht="80.099999999999994" customHeight="1" x14ac:dyDescent="0.25">
      <c r="A71" s="282" t="str">
        <f t="shared" si="0"/>
        <v>0645-00056</v>
      </c>
      <c r="B71" s="282" t="str">
        <f>РПЗ!$D71</f>
        <v xml:space="preserve"> 0645-00056. Поставка микросхем и полупроводниковых приборов</v>
      </c>
      <c r="C71" s="282" t="str">
        <f>РПЗ!$AA71</f>
        <v>Коммерческий отдел Дорохов Виктор Николаевич +7(812) 532-78-22</v>
      </c>
      <c r="D71" s="15" t="str">
        <f>РПЗ!$AB71</f>
        <v>Заказчик</v>
      </c>
      <c r="E71" s="692"/>
      <c r="F71" s="282" t="str">
        <f>РПЗ!Q71</f>
        <v>ОЗК</v>
      </c>
      <c r="G71" s="287"/>
      <c r="H71" s="287" t="str">
        <f>РПЗ!R71</f>
        <v>Да</v>
      </c>
      <c r="I71" s="15" t="str">
        <f>РПЗ!W71</f>
        <v>не применимо</v>
      </c>
      <c r="J71" s="282" t="str">
        <f>РПЗ!X71</f>
        <v>не применимо</v>
      </c>
      <c r="K71" s="336" t="str">
        <f>РПЗ!Z71</f>
        <v>не применимо</v>
      </c>
      <c r="L71" s="17"/>
      <c r="M71" s="18">
        <f>РПЗ!O71</f>
        <v>42826</v>
      </c>
      <c r="N71" s="289"/>
      <c r="O71" s="17"/>
      <c r="P71" s="17"/>
      <c r="Q71" s="17"/>
      <c r="R71" s="17"/>
      <c r="S71" s="17"/>
      <c r="T71" s="17"/>
      <c r="U71" s="18">
        <f>РПЗ!P71</f>
        <v>42917</v>
      </c>
      <c r="V71" s="17"/>
      <c r="W71" s="285">
        <f>РПЗ!L71</f>
        <v>1952309</v>
      </c>
      <c r="X71" s="286"/>
      <c r="Y71" s="286"/>
      <c r="Z71" s="300"/>
      <c r="AA71" s="287"/>
      <c r="AB71" s="116"/>
      <c r="AC71" s="17"/>
      <c r="AD71" s="288"/>
      <c r="AE71" s="17"/>
      <c r="AF71" s="287"/>
      <c r="AG71" s="116"/>
      <c r="AH71" s="285" t="str">
        <f>IF(Таблица5[[#This Row],[30]]=0,"НД",Таблица5[[#This Row],[20]]-Таблица5[[#This Row],[30]])</f>
        <v>НД</v>
      </c>
      <c r="AI71" s="693" t="str">
        <f>IF(((1-Таблица5[[#This Row],[30]]/Таблица5[[#This Row],[20]])=1),"НД",(1-Таблица5[[#This Row],[30]]/Таблица5[[#This Row],[20]]))</f>
        <v>НД</v>
      </c>
      <c r="AJ71" s="116"/>
      <c r="AK71" s="116"/>
      <c r="AL71" s="694"/>
      <c r="AM71" s="51"/>
      <c r="AN71" s="288"/>
      <c r="AO71" s="377">
        <f>IF(Таблица5[[#This Row],[11]]=0,,MONTH(Таблица5[[#This Row],[11]]))</f>
        <v>0</v>
      </c>
    </row>
    <row r="72" spans="1:41" ht="80.099999999999994" customHeight="1" x14ac:dyDescent="0.25">
      <c r="A72" s="282" t="str">
        <f t="shared" si="0"/>
        <v>0645-00057</v>
      </c>
      <c r="B72" s="282" t="str">
        <f>РПЗ!$D72</f>
        <v>0645-00057.  Поставка микросхем и полупроводниковых приборов</v>
      </c>
      <c r="C72" s="282" t="str">
        <f>РПЗ!$AA72</f>
        <v>Коммерческий отдел Дорохов Виктор Николаевич +7(812) 532-78-22</v>
      </c>
      <c r="D72" s="15" t="str">
        <f>РПЗ!$AB72</f>
        <v>Заказчик</v>
      </c>
      <c r="E72" s="692"/>
      <c r="F72" s="282" t="str">
        <f>РПЗ!Q72</f>
        <v>ОЗК</v>
      </c>
      <c r="G72" s="287"/>
      <c r="H72" s="287" t="str">
        <f>РПЗ!R72</f>
        <v>Да</v>
      </c>
      <c r="I72" s="15" t="str">
        <f>РПЗ!W72</f>
        <v>не применимо</v>
      </c>
      <c r="J72" s="282" t="str">
        <f>РПЗ!X72</f>
        <v>не применимо</v>
      </c>
      <c r="K72" s="336" t="str">
        <f>РПЗ!Z72</f>
        <v>не применимо</v>
      </c>
      <c r="L72" s="17"/>
      <c r="M72" s="18">
        <f>РПЗ!O72</f>
        <v>42856</v>
      </c>
      <c r="N72" s="289"/>
      <c r="O72" s="17"/>
      <c r="P72" s="17"/>
      <c r="Q72" s="17"/>
      <c r="R72" s="17"/>
      <c r="S72" s="17"/>
      <c r="T72" s="17"/>
      <c r="U72" s="18">
        <f>РПЗ!P72</f>
        <v>42948</v>
      </c>
      <c r="V72" s="17"/>
      <c r="W72" s="285">
        <f>РПЗ!L72</f>
        <v>2490877</v>
      </c>
      <c r="X72" s="286"/>
      <c r="Y72" s="286"/>
      <c r="Z72" s="300"/>
      <c r="AA72" s="287"/>
      <c r="AB72" s="116"/>
      <c r="AC72" s="17"/>
      <c r="AD72" s="288"/>
      <c r="AE72" s="17"/>
      <c r="AF72" s="287"/>
      <c r="AG72" s="116"/>
      <c r="AH72" s="285" t="str">
        <f>IF(Таблица5[[#This Row],[30]]=0,"НД",Таблица5[[#This Row],[20]]-Таблица5[[#This Row],[30]])</f>
        <v>НД</v>
      </c>
      <c r="AI72" s="693" t="str">
        <f>IF(((1-Таблица5[[#This Row],[30]]/Таблица5[[#This Row],[20]])=1),"НД",(1-Таблица5[[#This Row],[30]]/Таблица5[[#This Row],[20]]))</f>
        <v>НД</v>
      </c>
      <c r="AJ72" s="116"/>
      <c r="AK72" s="116"/>
      <c r="AL72" s="694"/>
      <c r="AM72" s="51"/>
      <c r="AN72" s="288"/>
      <c r="AO72" s="377">
        <f>IF(Таблица5[[#This Row],[11]]=0,,MONTH(Таблица5[[#This Row],[11]]))</f>
        <v>0</v>
      </c>
    </row>
    <row r="73" spans="1:41" ht="80.099999999999994" customHeight="1" x14ac:dyDescent="0.25">
      <c r="A73" s="282" t="str">
        <f t="shared" si="0"/>
        <v>0645-00058</v>
      </c>
      <c r="B73" s="282" t="str">
        <f>РПЗ!$D73</f>
        <v xml:space="preserve"> 0645-00058. Поставка микросхем и полупроводниковых приборов</v>
      </c>
      <c r="C73" s="282" t="str">
        <f>РПЗ!$AA73</f>
        <v>Коммерческий отдел Дорохов Виктор Николаевич +7(812) 532-78-22</v>
      </c>
      <c r="D73" s="15" t="str">
        <f>РПЗ!$AB73</f>
        <v>Заказчик</v>
      </c>
      <c r="E73" s="692"/>
      <c r="F73" s="282" t="str">
        <f>РПЗ!Q73</f>
        <v>ОЗК</v>
      </c>
      <c r="G73" s="287"/>
      <c r="H73" s="287" t="str">
        <f>РПЗ!R73</f>
        <v>Да</v>
      </c>
      <c r="I73" s="15" t="str">
        <f>РПЗ!W73</f>
        <v>не применимо</v>
      </c>
      <c r="J73" s="282" t="str">
        <f>РПЗ!X73</f>
        <v>не применимо</v>
      </c>
      <c r="K73" s="336" t="str">
        <f>РПЗ!Z73</f>
        <v>не применимо</v>
      </c>
      <c r="L73" s="17"/>
      <c r="M73" s="18">
        <f>РПЗ!O73</f>
        <v>42887</v>
      </c>
      <c r="N73" s="289"/>
      <c r="O73" s="17"/>
      <c r="P73" s="17"/>
      <c r="Q73" s="17"/>
      <c r="R73" s="17"/>
      <c r="S73" s="17"/>
      <c r="T73" s="17"/>
      <c r="U73" s="18">
        <f>РПЗ!P73</f>
        <v>42979</v>
      </c>
      <c r="V73" s="17"/>
      <c r="W73" s="285">
        <f>РПЗ!L73</f>
        <v>4914433</v>
      </c>
      <c r="X73" s="286"/>
      <c r="Y73" s="286"/>
      <c r="Z73" s="300"/>
      <c r="AA73" s="287"/>
      <c r="AB73" s="116"/>
      <c r="AC73" s="17"/>
      <c r="AD73" s="288"/>
      <c r="AE73" s="17"/>
      <c r="AF73" s="287"/>
      <c r="AG73" s="116"/>
      <c r="AH73" s="285" t="str">
        <f>IF(Таблица5[[#This Row],[30]]=0,"НД",Таблица5[[#This Row],[20]]-Таблица5[[#This Row],[30]])</f>
        <v>НД</v>
      </c>
      <c r="AI73" s="693" t="str">
        <f>IF(((1-Таблица5[[#This Row],[30]]/Таблица5[[#This Row],[20]])=1),"НД",(1-Таблица5[[#This Row],[30]]/Таблица5[[#This Row],[20]]))</f>
        <v>НД</v>
      </c>
      <c r="AJ73" s="116"/>
      <c r="AK73" s="116"/>
      <c r="AL73" s="694"/>
      <c r="AM73" s="51"/>
      <c r="AN73" s="288"/>
      <c r="AO73" s="377">
        <f>IF(Таблица5[[#This Row],[11]]=0,,MONTH(Таблица5[[#This Row],[11]]))</f>
        <v>0</v>
      </c>
    </row>
    <row r="74" spans="1:41" ht="80.099999999999994" customHeight="1" x14ac:dyDescent="0.25">
      <c r="A74" s="282" t="str">
        <f t="shared" si="0"/>
        <v>0645-00059</v>
      </c>
      <c r="B74" s="282" t="str">
        <f>РПЗ!$D74</f>
        <v xml:space="preserve"> 0645-00059. Поставка микросхем и полупроводниковых приборов</v>
      </c>
      <c r="C74" s="282" t="str">
        <f>РПЗ!$AA74</f>
        <v>Коммерческий отдел Дорохов Виктор Николаевич +7(812) 532-78-22</v>
      </c>
      <c r="D74" s="15" t="str">
        <f>РПЗ!$AB74</f>
        <v>АО ОПК</v>
      </c>
      <c r="E74" s="692"/>
      <c r="F74" s="282" t="str">
        <f>РПЗ!Q74</f>
        <v>ОР</v>
      </c>
      <c r="G74" s="287"/>
      <c r="H74" s="287" t="str">
        <f>РПЗ!R74</f>
        <v>Да</v>
      </c>
      <c r="I74" s="15" t="str">
        <f>РПЗ!W74</f>
        <v>не применимо</v>
      </c>
      <c r="J74" s="282" t="str">
        <f>РПЗ!X74</f>
        <v>не применимо</v>
      </c>
      <c r="K74" s="336" t="str">
        <f>РПЗ!Z74</f>
        <v>не применимо</v>
      </c>
      <c r="L74" s="17"/>
      <c r="M74" s="18">
        <f>РПЗ!O74</f>
        <v>42948</v>
      </c>
      <c r="N74" s="289"/>
      <c r="O74" s="17"/>
      <c r="P74" s="17"/>
      <c r="Q74" s="17"/>
      <c r="R74" s="17"/>
      <c r="S74" s="17"/>
      <c r="T74" s="17"/>
      <c r="U74" s="18">
        <f>РПЗ!P74</f>
        <v>43040</v>
      </c>
      <c r="V74" s="17"/>
      <c r="W74" s="285">
        <f>РПЗ!L74</f>
        <v>10232792</v>
      </c>
      <c r="X74" s="286"/>
      <c r="Y74" s="286"/>
      <c r="Z74" s="300"/>
      <c r="AA74" s="287"/>
      <c r="AB74" s="116"/>
      <c r="AC74" s="17"/>
      <c r="AD74" s="288"/>
      <c r="AE74" s="17"/>
      <c r="AF74" s="287"/>
      <c r="AG74" s="116"/>
      <c r="AH74" s="285" t="str">
        <f>IF(Таблица5[[#This Row],[30]]=0,"НД",Таблица5[[#This Row],[20]]-Таблица5[[#This Row],[30]])</f>
        <v>НД</v>
      </c>
      <c r="AI74" s="693" t="str">
        <f>IF(((1-Таблица5[[#This Row],[30]]/Таблица5[[#This Row],[20]])=1),"НД",(1-Таблица5[[#This Row],[30]]/Таблица5[[#This Row],[20]]))</f>
        <v>НД</v>
      </c>
      <c r="AJ74" s="116"/>
      <c r="AK74" s="116"/>
      <c r="AL74" s="694"/>
      <c r="AM74" s="51"/>
      <c r="AN74" s="288"/>
      <c r="AO74" s="377">
        <f>IF(Таблица5[[#This Row],[11]]=0,,MONTH(Таблица5[[#This Row],[11]]))</f>
        <v>0</v>
      </c>
    </row>
    <row r="75" spans="1:41" ht="80.099999999999994" customHeight="1" x14ac:dyDescent="0.25">
      <c r="A75" s="282" t="str">
        <f t="shared" si="0"/>
        <v>0645-00060</v>
      </c>
      <c r="B75" s="282" t="str">
        <f>РПЗ!$D75</f>
        <v xml:space="preserve"> 0645-00060. Поставка микросхем и полупроводниковых приборов</v>
      </c>
      <c r="C75" s="282" t="str">
        <f>РПЗ!$AA75</f>
        <v>Коммерческий отдел Дорохов Виктор Николаевич +7(812) 532-78-22</v>
      </c>
      <c r="D75" s="15" t="str">
        <f>РПЗ!$AB75</f>
        <v>Заказчик</v>
      </c>
      <c r="E75" s="692"/>
      <c r="F75" s="282" t="str">
        <f>РПЗ!Q75</f>
        <v>ОЗК</v>
      </c>
      <c r="G75" s="287"/>
      <c r="H75" s="287" t="str">
        <f>РПЗ!R75</f>
        <v>Да</v>
      </c>
      <c r="I75" s="15" t="str">
        <f>РПЗ!W75</f>
        <v>не применимо</v>
      </c>
      <c r="J75" s="282" t="str">
        <f>РПЗ!X75</f>
        <v>не применимо</v>
      </c>
      <c r="K75" s="336" t="str">
        <f>РПЗ!Z75</f>
        <v>не применимо</v>
      </c>
      <c r="L75" s="17"/>
      <c r="M75" s="18">
        <f>РПЗ!O75</f>
        <v>42887</v>
      </c>
      <c r="N75" s="289"/>
      <c r="O75" s="17"/>
      <c r="P75" s="17"/>
      <c r="Q75" s="17"/>
      <c r="R75" s="17"/>
      <c r="S75" s="17"/>
      <c r="T75" s="17"/>
      <c r="U75" s="18">
        <f>РПЗ!P75</f>
        <v>43009</v>
      </c>
      <c r="V75" s="17"/>
      <c r="W75" s="285">
        <f>РПЗ!L75</f>
        <v>4577828</v>
      </c>
      <c r="X75" s="286"/>
      <c r="Y75" s="286"/>
      <c r="Z75" s="300"/>
      <c r="AA75" s="287"/>
      <c r="AB75" s="116"/>
      <c r="AC75" s="17"/>
      <c r="AD75" s="288"/>
      <c r="AE75" s="17"/>
      <c r="AF75" s="287"/>
      <c r="AG75" s="116"/>
      <c r="AH75" s="285" t="str">
        <f>IF(Таблица5[[#This Row],[30]]=0,"НД",Таблица5[[#This Row],[20]]-Таблица5[[#This Row],[30]])</f>
        <v>НД</v>
      </c>
      <c r="AI75" s="693" t="str">
        <f>IF(((1-Таблица5[[#This Row],[30]]/Таблица5[[#This Row],[20]])=1),"НД",(1-Таблица5[[#This Row],[30]]/Таблица5[[#This Row],[20]]))</f>
        <v>НД</v>
      </c>
      <c r="AJ75" s="116"/>
      <c r="AK75" s="116"/>
      <c r="AL75" s="694"/>
      <c r="AM75" s="51"/>
      <c r="AN75" s="288"/>
      <c r="AO75" s="377">
        <f>IF(Таблица5[[#This Row],[11]]=0,,MONTH(Таблица5[[#This Row],[11]]))</f>
        <v>0</v>
      </c>
    </row>
    <row r="76" spans="1:41" ht="80.099999999999994" customHeight="1" x14ac:dyDescent="0.25">
      <c r="A76" s="282" t="str">
        <f t="shared" si="0"/>
        <v>0645-00061</v>
      </c>
      <c r="B76" s="282" t="str">
        <f>РПЗ!$D76</f>
        <v>0645-00061.  Поставка микросхем и полупроводниковых приборов</v>
      </c>
      <c r="C76" s="282" t="str">
        <f>РПЗ!$AA76</f>
        <v>Коммерческий отдел Дорохов Виктор Николаевич +7(812) 532-78-22</v>
      </c>
      <c r="D76" s="15" t="str">
        <f>РПЗ!$AB76</f>
        <v>Заказчик</v>
      </c>
      <c r="E76" s="692"/>
      <c r="F76" s="282" t="str">
        <f>РПЗ!Q76</f>
        <v>ОЗК</v>
      </c>
      <c r="G76" s="287"/>
      <c r="H76" s="287" t="str">
        <f>РПЗ!R76</f>
        <v>Да</v>
      </c>
      <c r="I76" s="15" t="str">
        <f>РПЗ!W76</f>
        <v>не применимо</v>
      </c>
      <c r="J76" s="282" t="str">
        <f>РПЗ!X76</f>
        <v>не применимо</v>
      </c>
      <c r="K76" s="336" t="str">
        <f>РПЗ!Z76</f>
        <v>не применимо</v>
      </c>
      <c r="L76" s="17"/>
      <c r="M76" s="18">
        <f>РПЗ!O76</f>
        <v>42856</v>
      </c>
      <c r="N76" s="289"/>
      <c r="O76" s="17"/>
      <c r="P76" s="17"/>
      <c r="Q76" s="17"/>
      <c r="R76" s="17"/>
      <c r="S76" s="17"/>
      <c r="T76" s="17"/>
      <c r="U76" s="18">
        <f>РПЗ!P76</f>
        <v>42948</v>
      </c>
      <c r="V76" s="17"/>
      <c r="W76" s="285">
        <f>РПЗ!L76</f>
        <v>2019630</v>
      </c>
      <c r="X76" s="286"/>
      <c r="Y76" s="286"/>
      <c r="Z76" s="300"/>
      <c r="AA76" s="287"/>
      <c r="AB76" s="116"/>
      <c r="AC76" s="17"/>
      <c r="AD76" s="288"/>
      <c r="AE76" s="17"/>
      <c r="AF76" s="287"/>
      <c r="AG76" s="116"/>
      <c r="AH76" s="285" t="str">
        <f>IF(Таблица5[[#This Row],[30]]=0,"НД",Таблица5[[#This Row],[20]]-Таблица5[[#This Row],[30]])</f>
        <v>НД</v>
      </c>
      <c r="AI76" s="693" t="str">
        <f>IF(((1-Таблица5[[#This Row],[30]]/Таблица5[[#This Row],[20]])=1),"НД",(1-Таблица5[[#This Row],[30]]/Таблица5[[#This Row],[20]]))</f>
        <v>НД</v>
      </c>
      <c r="AJ76" s="116"/>
      <c r="AK76" s="116"/>
      <c r="AL76" s="694"/>
      <c r="AM76" s="51"/>
      <c r="AN76" s="288"/>
      <c r="AO76" s="377">
        <f>IF(Таблица5[[#This Row],[11]]=0,,MONTH(Таблица5[[#This Row],[11]]))</f>
        <v>0</v>
      </c>
    </row>
    <row r="77" spans="1:41" ht="80.099999999999994" customHeight="1" x14ac:dyDescent="0.25">
      <c r="A77" s="282" t="str">
        <f t="shared" si="0"/>
        <v>0645-00062</v>
      </c>
      <c r="B77" s="282" t="str">
        <f>РПЗ!$D77</f>
        <v xml:space="preserve"> 0645-00062. Поставка микросхем и полупроводниковых приборов</v>
      </c>
      <c r="C77" s="282" t="str">
        <f>РПЗ!$AA77</f>
        <v>Коммерческий отдел Дорохов Виктор Николаевич +7(812) 532-78-22</v>
      </c>
      <c r="D77" s="15" t="str">
        <f>РПЗ!$AB77</f>
        <v>АО ОПК</v>
      </c>
      <c r="E77" s="692"/>
      <c r="F77" s="282" t="str">
        <f>РПЗ!Q77</f>
        <v>ОР</v>
      </c>
      <c r="G77" s="287"/>
      <c r="H77" s="287" t="str">
        <f>РПЗ!R77</f>
        <v>Да</v>
      </c>
      <c r="I77" s="15" t="str">
        <f>РПЗ!W77</f>
        <v>не применимо</v>
      </c>
      <c r="J77" s="282" t="str">
        <f>РПЗ!X77</f>
        <v>не применимо</v>
      </c>
      <c r="K77" s="336" t="str">
        <f>РПЗ!Z77</f>
        <v>не применимо</v>
      </c>
      <c r="L77" s="17"/>
      <c r="M77" s="18">
        <f>РПЗ!O77</f>
        <v>42826</v>
      </c>
      <c r="N77" s="289"/>
      <c r="O77" s="17"/>
      <c r="P77" s="17"/>
      <c r="Q77" s="17"/>
      <c r="R77" s="17"/>
      <c r="S77" s="17"/>
      <c r="T77" s="17"/>
      <c r="U77" s="18">
        <f>РПЗ!P77</f>
        <v>42887</v>
      </c>
      <c r="V77" s="17"/>
      <c r="W77" s="285">
        <f>РПЗ!L77</f>
        <v>11444570</v>
      </c>
      <c r="X77" s="286"/>
      <c r="Y77" s="286"/>
      <c r="Z77" s="300"/>
      <c r="AA77" s="287"/>
      <c r="AB77" s="116"/>
      <c r="AC77" s="17"/>
      <c r="AD77" s="288"/>
      <c r="AE77" s="17"/>
      <c r="AF77" s="287"/>
      <c r="AG77" s="116"/>
      <c r="AH77" s="285" t="str">
        <f>IF(Таблица5[[#This Row],[30]]=0,"НД",Таблица5[[#This Row],[20]]-Таблица5[[#This Row],[30]])</f>
        <v>НД</v>
      </c>
      <c r="AI77" s="693" t="str">
        <f>IF(((1-Таблица5[[#This Row],[30]]/Таблица5[[#This Row],[20]])=1),"НД",(1-Таблица5[[#This Row],[30]]/Таблица5[[#This Row],[20]]))</f>
        <v>НД</v>
      </c>
      <c r="AJ77" s="116"/>
      <c r="AK77" s="116"/>
      <c r="AL77" s="694"/>
      <c r="AM77" s="51"/>
      <c r="AN77" s="288"/>
      <c r="AO77" s="377">
        <f>IF(Таблица5[[#This Row],[11]]=0,,MONTH(Таблица5[[#This Row],[11]]))</f>
        <v>0</v>
      </c>
    </row>
    <row r="78" spans="1:41" ht="80.099999999999994" customHeight="1" x14ac:dyDescent="0.25">
      <c r="A78" s="282" t="str">
        <f t="shared" si="0"/>
        <v>0645-00063</v>
      </c>
      <c r="B78" s="282" t="str">
        <f>РПЗ!$D78</f>
        <v xml:space="preserve"> 0645-00063. Поставка микросхем и полупроводниковых приборов</v>
      </c>
      <c r="C78" s="282" t="str">
        <f>РПЗ!$AA78</f>
        <v>Коммерческий отдел Дорохов Виктор Николаевич +7(812) 532-78-22</v>
      </c>
      <c r="D78" s="15" t="str">
        <f>РПЗ!$AB78</f>
        <v>АО ОПК</v>
      </c>
      <c r="E78" s="692"/>
      <c r="F78" s="282" t="str">
        <f>РПЗ!Q78</f>
        <v>ОР</v>
      </c>
      <c r="G78" s="287"/>
      <c r="H78" s="287" t="str">
        <f>РПЗ!R78</f>
        <v>Да</v>
      </c>
      <c r="I78" s="15" t="str">
        <f>РПЗ!W78</f>
        <v>не применимо</v>
      </c>
      <c r="J78" s="282" t="str">
        <f>РПЗ!X78</f>
        <v>не применимо</v>
      </c>
      <c r="K78" s="336" t="str">
        <f>РПЗ!Z78</f>
        <v>не применимо</v>
      </c>
      <c r="L78" s="17"/>
      <c r="M78" s="18">
        <f>РПЗ!O78</f>
        <v>42917</v>
      </c>
      <c r="N78" s="289"/>
      <c r="O78" s="17"/>
      <c r="P78" s="17"/>
      <c r="Q78" s="17"/>
      <c r="R78" s="17"/>
      <c r="S78" s="17"/>
      <c r="T78" s="17"/>
      <c r="U78" s="18">
        <f>РПЗ!P78</f>
        <v>42979</v>
      </c>
      <c r="V78" s="17"/>
      <c r="W78" s="285">
        <f>РПЗ!L78</f>
        <v>9424940</v>
      </c>
      <c r="X78" s="286"/>
      <c r="Y78" s="286"/>
      <c r="Z78" s="300"/>
      <c r="AA78" s="287"/>
      <c r="AB78" s="116"/>
      <c r="AC78" s="17"/>
      <c r="AD78" s="288"/>
      <c r="AE78" s="17"/>
      <c r="AF78" s="287"/>
      <c r="AG78" s="116"/>
      <c r="AH78" s="285" t="str">
        <f>IF(Таблица5[[#This Row],[30]]=0,"НД",Таблица5[[#This Row],[20]]-Таблица5[[#This Row],[30]])</f>
        <v>НД</v>
      </c>
      <c r="AI78" s="693" t="str">
        <f>IF(((1-Таблица5[[#This Row],[30]]/Таблица5[[#This Row],[20]])=1),"НД",(1-Таблица5[[#This Row],[30]]/Таблица5[[#This Row],[20]]))</f>
        <v>НД</v>
      </c>
      <c r="AJ78" s="116"/>
      <c r="AK78" s="116"/>
      <c r="AL78" s="694"/>
      <c r="AM78" s="51"/>
      <c r="AN78" s="288"/>
      <c r="AO78" s="377">
        <f>IF(Таблица5[[#This Row],[11]]=0,,MONTH(Таблица5[[#This Row],[11]]))</f>
        <v>0</v>
      </c>
    </row>
    <row r="79" spans="1:41" ht="80.099999999999994" customHeight="1" x14ac:dyDescent="0.25">
      <c r="A79" s="282" t="str">
        <f t="shared" si="0"/>
        <v>0645-00064</v>
      </c>
      <c r="B79" s="282" t="str">
        <f>РПЗ!$D79</f>
        <v xml:space="preserve"> 0645-00064. Поставка микросхем и полупроводниковых приборов</v>
      </c>
      <c r="C79" s="282" t="str">
        <f>РПЗ!$AA79</f>
        <v>Коммерческий отдел Дорохов Виктор Николаевич +7(812) 532-78-22</v>
      </c>
      <c r="D79" s="15" t="str">
        <f>РПЗ!$AB79</f>
        <v>АО ОПК</v>
      </c>
      <c r="E79" s="692"/>
      <c r="F79" s="282" t="str">
        <f>РПЗ!Q79</f>
        <v>ОР</v>
      </c>
      <c r="G79" s="287"/>
      <c r="H79" s="287" t="str">
        <f>РПЗ!R79</f>
        <v>Да</v>
      </c>
      <c r="I79" s="15" t="str">
        <f>РПЗ!W79</f>
        <v>не применимо</v>
      </c>
      <c r="J79" s="282" t="str">
        <f>РПЗ!X79</f>
        <v>не применимо</v>
      </c>
      <c r="K79" s="336" t="str">
        <f>РПЗ!Z79</f>
        <v>не применимо</v>
      </c>
      <c r="L79" s="17"/>
      <c r="M79" s="18">
        <f>РПЗ!O79</f>
        <v>42767</v>
      </c>
      <c r="N79" s="289"/>
      <c r="O79" s="17"/>
      <c r="P79" s="17"/>
      <c r="Q79" s="17"/>
      <c r="R79" s="17"/>
      <c r="S79" s="17"/>
      <c r="T79" s="17"/>
      <c r="U79" s="18">
        <f>РПЗ!P79</f>
        <v>42856</v>
      </c>
      <c r="V79" s="17"/>
      <c r="W79" s="285">
        <f>РПЗ!L79</f>
        <v>7405310</v>
      </c>
      <c r="X79" s="286"/>
      <c r="Y79" s="286"/>
      <c r="Z79" s="300"/>
      <c r="AA79" s="287"/>
      <c r="AB79" s="116"/>
      <c r="AC79" s="17"/>
      <c r="AD79" s="288"/>
      <c r="AE79" s="17"/>
      <c r="AF79" s="287"/>
      <c r="AG79" s="116"/>
      <c r="AH79" s="285" t="str">
        <f>IF(Таблица5[[#This Row],[30]]=0,"НД",Таблица5[[#This Row],[20]]-Таблица5[[#This Row],[30]])</f>
        <v>НД</v>
      </c>
      <c r="AI79" s="693" t="str">
        <f>IF(((1-Таблица5[[#This Row],[30]]/Таблица5[[#This Row],[20]])=1),"НД",(1-Таблица5[[#This Row],[30]]/Таблица5[[#This Row],[20]]))</f>
        <v>НД</v>
      </c>
      <c r="AJ79" s="116"/>
      <c r="AK79" s="116"/>
      <c r="AL79" s="694"/>
      <c r="AM79" s="51"/>
      <c r="AN79" s="288"/>
      <c r="AO79" s="377">
        <f>IF(Таблица5[[#This Row],[11]]=0,,MONTH(Таблица5[[#This Row],[11]]))</f>
        <v>0</v>
      </c>
    </row>
    <row r="80" spans="1:41" ht="80.099999999999994" customHeight="1" x14ac:dyDescent="0.25">
      <c r="A80" s="282" t="str">
        <f t="shared" ref="A80:A143" si="1">INDEX(Диапазон1,ROW(), COLUMN())</f>
        <v>0645-00065</v>
      </c>
      <c r="B80" s="282" t="str">
        <f>РПЗ!$D80</f>
        <v xml:space="preserve"> 0645-00065. Поставка микросхем и полупроводниковых приборов</v>
      </c>
      <c r="C80" s="282" t="str">
        <f>РПЗ!$AA80</f>
        <v>Коммерческий отдел Дорохов Виктор Николаевич +7(812) 532-78-22</v>
      </c>
      <c r="D80" s="15" t="str">
        <f>РПЗ!$AB80</f>
        <v>Заказчик</v>
      </c>
      <c r="E80" s="692"/>
      <c r="F80" s="282" t="str">
        <f>РПЗ!Q80</f>
        <v>ОЗК</v>
      </c>
      <c r="G80" s="287"/>
      <c r="H80" s="287" t="str">
        <f>РПЗ!R80</f>
        <v>Да</v>
      </c>
      <c r="I80" s="15" t="str">
        <f>РПЗ!W80</f>
        <v>не применимо</v>
      </c>
      <c r="J80" s="282" t="str">
        <f>РПЗ!X80</f>
        <v>не применимо</v>
      </c>
      <c r="K80" s="336" t="str">
        <f>РПЗ!Z80</f>
        <v>не применимо</v>
      </c>
      <c r="L80" s="17"/>
      <c r="M80" s="18">
        <f>РПЗ!O80</f>
        <v>42767</v>
      </c>
      <c r="N80" s="289"/>
      <c r="O80" s="17"/>
      <c r="P80" s="17"/>
      <c r="Q80" s="17"/>
      <c r="R80" s="17"/>
      <c r="S80" s="17"/>
      <c r="T80" s="17"/>
      <c r="U80" s="18">
        <f>РПЗ!P80</f>
        <v>42826</v>
      </c>
      <c r="V80" s="17"/>
      <c r="W80" s="285">
        <f>РПЗ!L80</f>
        <v>1279099</v>
      </c>
      <c r="X80" s="286"/>
      <c r="Y80" s="286"/>
      <c r="Z80" s="300"/>
      <c r="AA80" s="287"/>
      <c r="AB80" s="116"/>
      <c r="AC80" s="17"/>
      <c r="AD80" s="288"/>
      <c r="AE80" s="17"/>
      <c r="AF80" s="287"/>
      <c r="AG80" s="116"/>
      <c r="AH80" s="285" t="str">
        <f>IF(Таблица5[[#This Row],[30]]=0,"НД",Таблица5[[#This Row],[20]]-Таблица5[[#This Row],[30]])</f>
        <v>НД</v>
      </c>
      <c r="AI80" s="693" t="str">
        <f>IF(((1-Таблица5[[#This Row],[30]]/Таблица5[[#This Row],[20]])=1),"НД",(1-Таблица5[[#This Row],[30]]/Таблица5[[#This Row],[20]]))</f>
        <v>НД</v>
      </c>
      <c r="AJ80" s="116"/>
      <c r="AK80" s="116"/>
      <c r="AL80" s="694"/>
      <c r="AM80" s="51"/>
      <c r="AN80" s="288"/>
      <c r="AO80" s="377">
        <f>IF(Таблица5[[#This Row],[11]]=0,,MONTH(Таблица5[[#This Row],[11]]))</f>
        <v>0</v>
      </c>
    </row>
    <row r="81" spans="1:41" ht="80.099999999999994" customHeight="1" x14ac:dyDescent="0.25">
      <c r="A81" s="282" t="str">
        <f t="shared" si="1"/>
        <v>0645-00066</v>
      </c>
      <c r="B81" s="282" t="str">
        <f>РПЗ!$D81</f>
        <v xml:space="preserve"> 0645-00066. Поставка микросхем и полупроводниковых приборов</v>
      </c>
      <c r="C81" s="282" t="str">
        <f>РПЗ!$AA81</f>
        <v>Коммерческий отдел Дорохов Виктор Николаевич +7(812) 532-78-22</v>
      </c>
      <c r="D81" s="15" t="str">
        <f>РПЗ!$AB81</f>
        <v>Заказчик</v>
      </c>
      <c r="E81" s="692"/>
      <c r="F81" s="282" t="str">
        <f>РПЗ!Q81</f>
        <v>ОЗК</v>
      </c>
      <c r="G81" s="287"/>
      <c r="H81" s="287" t="str">
        <f>РПЗ!R81</f>
        <v>Да</v>
      </c>
      <c r="I81" s="15" t="str">
        <f>РПЗ!W81</f>
        <v>не применимо</v>
      </c>
      <c r="J81" s="282" t="str">
        <f>РПЗ!X81</f>
        <v>не применимо</v>
      </c>
      <c r="K81" s="336" t="str">
        <f>РПЗ!Z81</f>
        <v>не применимо</v>
      </c>
      <c r="L81" s="17"/>
      <c r="M81" s="18">
        <f>РПЗ!O81</f>
        <v>42979</v>
      </c>
      <c r="N81" s="289"/>
      <c r="O81" s="17"/>
      <c r="P81" s="17"/>
      <c r="Q81" s="17"/>
      <c r="R81" s="17"/>
      <c r="S81" s="17"/>
      <c r="T81" s="17"/>
      <c r="U81" s="18">
        <f>РПЗ!P81</f>
        <v>43070</v>
      </c>
      <c r="V81" s="17"/>
      <c r="W81" s="285">
        <f>РПЗ!L81</f>
        <v>1144457</v>
      </c>
      <c r="X81" s="286"/>
      <c r="Y81" s="286"/>
      <c r="Z81" s="300"/>
      <c r="AA81" s="287"/>
      <c r="AB81" s="116"/>
      <c r="AC81" s="17"/>
      <c r="AD81" s="288"/>
      <c r="AE81" s="17"/>
      <c r="AF81" s="287"/>
      <c r="AG81" s="116"/>
      <c r="AH81" s="285" t="str">
        <f>IF(Таблица5[[#This Row],[30]]=0,"НД",Таблица5[[#This Row],[20]]-Таблица5[[#This Row],[30]])</f>
        <v>НД</v>
      </c>
      <c r="AI81" s="693" t="str">
        <f>IF(((1-Таблица5[[#This Row],[30]]/Таблица5[[#This Row],[20]])=1),"НД",(1-Таблица5[[#This Row],[30]]/Таблица5[[#This Row],[20]]))</f>
        <v>НД</v>
      </c>
      <c r="AJ81" s="116"/>
      <c r="AK81" s="116"/>
      <c r="AL81" s="694"/>
      <c r="AM81" s="51"/>
      <c r="AN81" s="288"/>
      <c r="AO81" s="377">
        <f>IF(Таблица5[[#This Row],[11]]=0,,MONTH(Таблица5[[#This Row],[11]]))</f>
        <v>0</v>
      </c>
    </row>
    <row r="82" spans="1:41" ht="80.099999999999994" customHeight="1" x14ac:dyDescent="0.25">
      <c r="A82" s="282" t="str">
        <f t="shared" si="1"/>
        <v>0645-00067</v>
      </c>
      <c r="B82" s="282" t="str">
        <f>РПЗ!$D82</f>
        <v xml:space="preserve"> 0645-00067. Поставка микросхем</v>
      </c>
      <c r="C82" s="282" t="str">
        <f>РПЗ!$AA82</f>
        <v>Коммерческий отдел Дорохов Виктор Николаевич +7(812) 532-78-22</v>
      </c>
      <c r="D82" s="15" t="str">
        <f>РПЗ!$AB82</f>
        <v>АО ОПК</v>
      </c>
      <c r="E82" s="692"/>
      <c r="F82" s="282" t="str">
        <f>РПЗ!Q82</f>
        <v>ОР</v>
      </c>
      <c r="G82" s="287"/>
      <c r="H82" s="287" t="str">
        <f>РПЗ!R82</f>
        <v>Да</v>
      </c>
      <c r="I82" s="15" t="str">
        <f>РПЗ!W82</f>
        <v>не применимо</v>
      </c>
      <c r="J82" s="282" t="str">
        <f>РПЗ!X82</f>
        <v>не применимо</v>
      </c>
      <c r="K82" s="336" t="str">
        <f>РПЗ!Z82</f>
        <v>не применимо</v>
      </c>
      <c r="L82" s="17"/>
      <c r="M82" s="18">
        <f>РПЗ!O82</f>
        <v>42795</v>
      </c>
      <c r="N82" s="289"/>
      <c r="O82" s="17"/>
      <c r="P82" s="17"/>
      <c r="Q82" s="17"/>
      <c r="R82" s="17"/>
      <c r="S82" s="17"/>
      <c r="T82" s="17"/>
      <c r="U82" s="18">
        <f>РПЗ!P82</f>
        <v>42887</v>
      </c>
      <c r="V82" s="17"/>
      <c r="W82" s="285">
        <f>РПЗ!L82</f>
        <v>18769036.949999999</v>
      </c>
      <c r="X82" s="286"/>
      <c r="Y82" s="286"/>
      <c r="Z82" s="300"/>
      <c r="AA82" s="287"/>
      <c r="AB82" s="116"/>
      <c r="AC82" s="17"/>
      <c r="AD82" s="288"/>
      <c r="AE82" s="17"/>
      <c r="AF82" s="287"/>
      <c r="AG82" s="116"/>
      <c r="AH82" s="285" t="str">
        <f>IF(Таблица5[[#This Row],[30]]=0,"НД",Таблица5[[#This Row],[20]]-Таблица5[[#This Row],[30]])</f>
        <v>НД</v>
      </c>
      <c r="AI82" s="693" t="str">
        <f>IF(((1-Таблица5[[#This Row],[30]]/Таблица5[[#This Row],[20]])=1),"НД",(1-Таблица5[[#This Row],[30]]/Таблица5[[#This Row],[20]]))</f>
        <v>НД</v>
      </c>
      <c r="AJ82" s="116"/>
      <c r="AK82" s="116"/>
      <c r="AL82" s="694"/>
      <c r="AM82" s="51"/>
      <c r="AN82" s="288"/>
      <c r="AO82" s="377">
        <f>IF(Таблица5[[#This Row],[11]]=0,,MONTH(Таблица5[[#This Row],[11]]))</f>
        <v>0</v>
      </c>
    </row>
    <row r="83" spans="1:41" ht="80.099999999999994" customHeight="1" x14ac:dyDescent="0.25">
      <c r="A83" s="282" t="str">
        <f t="shared" si="1"/>
        <v>0645-00068</v>
      </c>
      <c r="B83" s="282" t="str">
        <f>РПЗ!$D83</f>
        <v>0645-00068.  Поставка микросхем</v>
      </c>
      <c r="C83" s="282" t="str">
        <f>РПЗ!$AA83</f>
        <v>Коммерческий отдел Дорохов Виктор Николаевич +7(812) 532-78-22</v>
      </c>
      <c r="D83" s="15" t="str">
        <f>РПЗ!$AB83</f>
        <v>АО ОПК</v>
      </c>
      <c r="E83" s="692"/>
      <c r="F83" s="282" t="str">
        <f>РПЗ!Q83</f>
        <v>ОР</v>
      </c>
      <c r="G83" s="287"/>
      <c r="H83" s="287" t="str">
        <f>РПЗ!R83</f>
        <v>Да</v>
      </c>
      <c r="I83" s="15" t="str">
        <f>РПЗ!W83</f>
        <v>не применимо</v>
      </c>
      <c r="J83" s="282" t="str">
        <f>РПЗ!X83</f>
        <v>не применимо</v>
      </c>
      <c r="K83" s="336" t="str">
        <f>РПЗ!Z83</f>
        <v>не применимо</v>
      </c>
      <c r="L83" s="17"/>
      <c r="M83" s="18">
        <f>РПЗ!O83</f>
        <v>42795</v>
      </c>
      <c r="N83" s="289"/>
      <c r="O83" s="17"/>
      <c r="P83" s="17"/>
      <c r="Q83" s="17"/>
      <c r="R83" s="17"/>
      <c r="S83" s="17"/>
      <c r="T83" s="17"/>
      <c r="U83" s="18">
        <f>РПЗ!P83</f>
        <v>42887</v>
      </c>
      <c r="V83" s="17"/>
      <c r="W83" s="285">
        <f>РПЗ!L83</f>
        <v>12164877.59</v>
      </c>
      <c r="X83" s="286"/>
      <c r="Y83" s="286"/>
      <c r="Z83" s="300"/>
      <c r="AA83" s="287"/>
      <c r="AB83" s="116"/>
      <c r="AC83" s="17"/>
      <c r="AD83" s="288"/>
      <c r="AE83" s="17"/>
      <c r="AF83" s="287"/>
      <c r="AG83" s="116"/>
      <c r="AH83" s="285" t="str">
        <f>IF(Таблица5[[#This Row],[30]]=0,"НД",Таблица5[[#This Row],[20]]-Таблица5[[#This Row],[30]])</f>
        <v>НД</v>
      </c>
      <c r="AI83" s="693" t="str">
        <f>IF(((1-Таблица5[[#This Row],[30]]/Таблица5[[#This Row],[20]])=1),"НД",(1-Таблица5[[#This Row],[30]]/Таблица5[[#This Row],[20]]))</f>
        <v>НД</v>
      </c>
      <c r="AJ83" s="116"/>
      <c r="AK83" s="116"/>
      <c r="AL83" s="694"/>
      <c r="AM83" s="51"/>
      <c r="AN83" s="288"/>
      <c r="AO83" s="377">
        <f>IF(Таблица5[[#This Row],[11]]=0,,MONTH(Таблица5[[#This Row],[11]]))</f>
        <v>0</v>
      </c>
    </row>
    <row r="84" spans="1:41" ht="80.099999999999994" customHeight="1" x14ac:dyDescent="0.25">
      <c r="A84" s="282" t="str">
        <f t="shared" si="1"/>
        <v>0645-00069</v>
      </c>
      <c r="B84" s="282" t="str">
        <f>РПЗ!$D84</f>
        <v xml:space="preserve"> 0645-00069. Поставка микросхем</v>
      </c>
      <c r="C84" s="282" t="str">
        <f>РПЗ!$AA84</f>
        <v>Коммерческий отдел Дорохов Виктор Николаевич +7(812) 532-78-22</v>
      </c>
      <c r="D84" s="15" t="str">
        <f>РПЗ!$AB84</f>
        <v>Заказчик</v>
      </c>
      <c r="E84" s="692"/>
      <c r="F84" s="282" t="str">
        <f>РПЗ!Q84</f>
        <v>ОЗК</v>
      </c>
      <c r="G84" s="287"/>
      <c r="H84" s="287" t="str">
        <f>РПЗ!R84</f>
        <v>Да</v>
      </c>
      <c r="I84" s="15" t="str">
        <f>РПЗ!W84</f>
        <v>не применимо</v>
      </c>
      <c r="J84" s="282" t="str">
        <f>РПЗ!X84</f>
        <v>не применимо</v>
      </c>
      <c r="K84" s="336" t="str">
        <f>РПЗ!Z84</f>
        <v>не применимо</v>
      </c>
      <c r="L84" s="17"/>
      <c r="M84" s="18">
        <f>РПЗ!O84</f>
        <v>42887</v>
      </c>
      <c r="N84" s="289"/>
      <c r="O84" s="17"/>
      <c r="P84" s="17"/>
      <c r="Q84" s="17"/>
      <c r="R84" s="17"/>
      <c r="S84" s="17"/>
      <c r="T84" s="17"/>
      <c r="U84" s="18">
        <f>РПЗ!P84</f>
        <v>42979</v>
      </c>
      <c r="V84" s="17"/>
      <c r="W84" s="285">
        <f>РПЗ!L84</f>
        <v>2583000</v>
      </c>
      <c r="X84" s="286"/>
      <c r="Y84" s="286"/>
      <c r="Z84" s="300"/>
      <c r="AA84" s="287"/>
      <c r="AB84" s="116"/>
      <c r="AC84" s="17"/>
      <c r="AD84" s="288"/>
      <c r="AE84" s="17"/>
      <c r="AF84" s="287"/>
      <c r="AG84" s="116"/>
      <c r="AH84" s="285" t="str">
        <f>IF(Таблица5[[#This Row],[30]]=0,"НД",Таблица5[[#This Row],[20]]-Таблица5[[#This Row],[30]])</f>
        <v>НД</v>
      </c>
      <c r="AI84" s="693" t="str">
        <f>IF(((1-Таблица5[[#This Row],[30]]/Таблица5[[#This Row],[20]])=1),"НД",(1-Таблица5[[#This Row],[30]]/Таблица5[[#This Row],[20]]))</f>
        <v>НД</v>
      </c>
      <c r="AJ84" s="116"/>
      <c r="AK84" s="116"/>
      <c r="AL84" s="694"/>
      <c r="AM84" s="51"/>
      <c r="AN84" s="288"/>
      <c r="AO84" s="377">
        <f>IF(Таблица5[[#This Row],[11]]=0,,MONTH(Таблица5[[#This Row],[11]]))</f>
        <v>0</v>
      </c>
    </row>
    <row r="85" spans="1:41" ht="80.099999999999994" customHeight="1" x14ac:dyDescent="0.25">
      <c r="A85" s="282" t="str">
        <f t="shared" si="1"/>
        <v>0645-00070</v>
      </c>
      <c r="B85" s="282" t="str">
        <f>РПЗ!$D85</f>
        <v>0645-00070.  Поставка микросхем</v>
      </c>
      <c r="C85" s="282" t="str">
        <f>РПЗ!$AA85</f>
        <v>Коммерческий отдел Дорохов Виктор Николаевич +7(812) 532-78-22</v>
      </c>
      <c r="D85" s="15" t="str">
        <f>РПЗ!$AB85</f>
        <v>Заказчик</v>
      </c>
      <c r="E85" s="692"/>
      <c r="F85" s="282" t="str">
        <f>РПЗ!Q85</f>
        <v>ОЗК</v>
      </c>
      <c r="G85" s="287"/>
      <c r="H85" s="287" t="str">
        <f>РПЗ!R85</f>
        <v>Да</v>
      </c>
      <c r="I85" s="15" t="str">
        <f>РПЗ!W85</f>
        <v>не применимо</v>
      </c>
      <c r="J85" s="282" t="str">
        <f>РПЗ!X85</f>
        <v>не применимо</v>
      </c>
      <c r="K85" s="336" t="str">
        <f>РПЗ!Z85</f>
        <v>не применимо</v>
      </c>
      <c r="L85" s="17"/>
      <c r="M85" s="18">
        <f>РПЗ!O85</f>
        <v>42948</v>
      </c>
      <c r="N85" s="289"/>
      <c r="O85" s="17"/>
      <c r="P85" s="17"/>
      <c r="Q85" s="17"/>
      <c r="R85" s="17"/>
      <c r="S85" s="17"/>
      <c r="T85" s="17"/>
      <c r="U85" s="18">
        <f>РПЗ!P85</f>
        <v>43040</v>
      </c>
      <c r="V85" s="17"/>
      <c r="W85" s="285">
        <f>РПЗ!L85</f>
        <v>3772340</v>
      </c>
      <c r="X85" s="286"/>
      <c r="Y85" s="286"/>
      <c r="Z85" s="300"/>
      <c r="AA85" s="287"/>
      <c r="AB85" s="116"/>
      <c r="AC85" s="17"/>
      <c r="AD85" s="288"/>
      <c r="AE85" s="17"/>
      <c r="AF85" s="287"/>
      <c r="AG85" s="116"/>
      <c r="AH85" s="285" t="str">
        <f>IF(Таблица5[[#This Row],[30]]=0,"НД",Таблица5[[#This Row],[20]]-Таблица5[[#This Row],[30]])</f>
        <v>НД</v>
      </c>
      <c r="AI85" s="693" t="str">
        <f>IF(((1-Таблица5[[#This Row],[30]]/Таблица5[[#This Row],[20]])=1),"НД",(1-Таблица5[[#This Row],[30]]/Таблица5[[#This Row],[20]]))</f>
        <v>НД</v>
      </c>
      <c r="AJ85" s="116"/>
      <c r="AK85" s="116"/>
      <c r="AL85" s="694"/>
      <c r="AM85" s="51"/>
      <c r="AN85" s="288"/>
      <c r="AO85" s="377">
        <f>IF(Таблица5[[#This Row],[11]]=0,,MONTH(Таблица5[[#This Row],[11]]))</f>
        <v>0</v>
      </c>
    </row>
    <row r="86" spans="1:41" ht="80.099999999999994" customHeight="1" x14ac:dyDescent="0.25">
      <c r="A86" s="282" t="str">
        <f t="shared" si="1"/>
        <v>0645-00071</v>
      </c>
      <c r="B86" s="282" t="str">
        <f>РПЗ!$D86</f>
        <v xml:space="preserve"> 0645-00071. Поставка микросхем</v>
      </c>
      <c r="C86" s="282" t="str">
        <f>РПЗ!$AA86</f>
        <v>Коммерческий отдел Дорохов Виктор Николаевич +7(812) 532-78-22</v>
      </c>
      <c r="D86" s="15" t="str">
        <f>РПЗ!$AB86</f>
        <v>Заказчик</v>
      </c>
      <c r="E86" s="692"/>
      <c r="F86" s="282" t="str">
        <f>РПЗ!Q86</f>
        <v>ОЗК</v>
      </c>
      <c r="G86" s="287"/>
      <c r="H86" s="287" t="str">
        <f>РПЗ!R86</f>
        <v>Да</v>
      </c>
      <c r="I86" s="15" t="str">
        <f>РПЗ!W86</f>
        <v>не применимо</v>
      </c>
      <c r="J86" s="282" t="str">
        <f>РПЗ!X86</f>
        <v>не применимо</v>
      </c>
      <c r="K86" s="336" t="str">
        <f>РПЗ!Z86</f>
        <v>не применимо</v>
      </c>
      <c r="L86" s="17"/>
      <c r="M86" s="18">
        <f>РПЗ!O86</f>
        <v>43009</v>
      </c>
      <c r="N86" s="289"/>
      <c r="O86" s="17"/>
      <c r="P86" s="17"/>
      <c r="Q86" s="17"/>
      <c r="R86" s="17"/>
      <c r="S86" s="17"/>
      <c r="T86" s="17"/>
      <c r="U86" s="18">
        <f>РПЗ!P86</f>
        <v>43070</v>
      </c>
      <c r="V86" s="17"/>
      <c r="W86" s="285">
        <f>РПЗ!L86</f>
        <v>4900000</v>
      </c>
      <c r="X86" s="286"/>
      <c r="Y86" s="286"/>
      <c r="Z86" s="300"/>
      <c r="AA86" s="287"/>
      <c r="AB86" s="116"/>
      <c r="AC86" s="17"/>
      <c r="AD86" s="288"/>
      <c r="AE86" s="17"/>
      <c r="AF86" s="287"/>
      <c r="AG86" s="116"/>
      <c r="AH86" s="285" t="str">
        <f>IF(Таблица5[[#This Row],[30]]=0,"НД",Таблица5[[#This Row],[20]]-Таблица5[[#This Row],[30]])</f>
        <v>НД</v>
      </c>
      <c r="AI86" s="693" t="str">
        <f>IF(((1-Таблица5[[#This Row],[30]]/Таблица5[[#This Row],[20]])=1),"НД",(1-Таблица5[[#This Row],[30]]/Таблица5[[#This Row],[20]]))</f>
        <v>НД</v>
      </c>
      <c r="AJ86" s="116"/>
      <c r="AK86" s="116"/>
      <c r="AL86" s="694"/>
      <c r="AM86" s="51"/>
      <c r="AN86" s="288"/>
      <c r="AO86" s="377">
        <f>IF(Таблица5[[#This Row],[11]]=0,,MONTH(Таблица5[[#This Row],[11]]))</f>
        <v>0</v>
      </c>
    </row>
    <row r="87" spans="1:41" ht="80.099999999999994" customHeight="1" x14ac:dyDescent="0.25">
      <c r="A87" s="282" t="str">
        <f t="shared" si="1"/>
        <v>0645-00072</v>
      </c>
      <c r="B87" s="282" t="str">
        <f>РПЗ!$D87</f>
        <v xml:space="preserve"> 0645-00072. Поставка микросхем</v>
      </c>
      <c r="C87" s="282" t="str">
        <f>РПЗ!$AA87</f>
        <v>Коммерческий отдел Дорохов Виктор Николаевич +7(812) 532-78-22</v>
      </c>
      <c r="D87" s="15" t="str">
        <f>РПЗ!$AB87</f>
        <v>АО ОПК</v>
      </c>
      <c r="E87" s="692"/>
      <c r="F87" s="282" t="str">
        <f>РПЗ!Q87</f>
        <v>ОР</v>
      </c>
      <c r="G87" s="287"/>
      <c r="H87" s="287" t="str">
        <f>РПЗ!R87</f>
        <v>Да</v>
      </c>
      <c r="I87" s="15" t="str">
        <f>РПЗ!W87</f>
        <v>не применимо</v>
      </c>
      <c r="J87" s="282" t="str">
        <f>РПЗ!X87</f>
        <v>не применимо</v>
      </c>
      <c r="K87" s="336" t="str">
        <f>РПЗ!Z87</f>
        <v>не применимо</v>
      </c>
      <c r="L87" s="17"/>
      <c r="M87" s="18">
        <f>РПЗ!O87</f>
        <v>42917</v>
      </c>
      <c r="N87" s="289"/>
      <c r="O87" s="17"/>
      <c r="P87" s="17"/>
      <c r="Q87" s="17"/>
      <c r="R87" s="17"/>
      <c r="S87" s="17"/>
      <c r="T87" s="17"/>
      <c r="U87" s="18">
        <f>РПЗ!P87</f>
        <v>43040</v>
      </c>
      <c r="V87" s="17"/>
      <c r="W87" s="285">
        <f>РПЗ!L87</f>
        <v>9850000</v>
      </c>
      <c r="X87" s="286"/>
      <c r="Y87" s="286"/>
      <c r="Z87" s="300"/>
      <c r="AA87" s="287"/>
      <c r="AB87" s="116"/>
      <c r="AC87" s="17"/>
      <c r="AD87" s="288"/>
      <c r="AE87" s="17"/>
      <c r="AF87" s="287"/>
      <c r="AG87" s="116"/>
      <c r="AH87" s="285" t="str">
        <f>IF(Таблица5[[#This Row],[30]]=0,"НД",Таблица5[[#This Row],[20]]-Таблица5[[#This Row],[30]])</f>
        <v>НД</v>
      </c>
      <c r="AI87" s="693" t="str">
        <f>IF(((1-Таблица5[[#This Row],[30]]/Таблица5[[#This Row],[20]])=1),"НД",(1-Таблица5[[#This Row],[30]]/Таблица5[[#This Row],[20]]))</f>
        <v>НД</v>
      </c>
      <c r="AJ87" s="116"/>
      <c r="AK87" s="116"/>
      <c r="AL87" s="694"/>
      <c r="AM87" s="51"/>
      <c r="AN87" s="288"/>
      <c r="AO87" s="377">
        <f>IF(Таблица5[[#This Row],[11]]=0,,MONTH(Таблица5[[#This Row],[11]]))</f>
        <v>0</v>
      </c>
    </row>
    <row r="88" spans="1:41" ht="80.099999999999994" customHeight="1" x14ac:dyDescent="0.25">
      <c r="A88" s="282" t="str">
        <f t="shared" si="1"/>
        <v>0645-00073</v>
      </c>
      <c r="B88" s="282" t="str">
        <f>РПЗ!$D88</f>
        <v xml:space="preserve"> 0645-00073. Поставка микросхем</v>
      </c>
      <c r="C88" s="282" t="str">
        <f>РПЗ!$AA88</f>
        <v>Коммерческий отдел Дорохов Виктор Николаевич +7(812) 532-78-22</v>
      </c>
      <c r="D88" s="15" t="str">
        <f>РПЗ!$AB88</f>
        <v>Заказчик</v>
      </c>
      <c r="E88" s="692"/>
      <c r="F88" s="282" t="str">
        <f>РПЗ!Q88</f>
        <v>ОЗК</v>
      </c>
      <c r="G88" s="287"/>
      <c r="H88" s="287" t="str">
        <f>РПЗ!R88</f>
        <v>Да</v>
      </c>
      <c r="I88" s="15" t="str">
        <f>РПЗ!W88</f>
        <v>не применимо</v>
      </c>
      <c r="J88" s="282" t="str">
        <f>РПЗ!X88</f>
        <v>не применимо</v>
      </c>
      <c r="K88" s="336" t="str">
        <f>РПЗ!Z88</f>
        <v>не применимо</v>
      </c>
      <c r="L88" s="17"/>
      <c r="M88" s="18">
        <f>РПЗ!O88</f>
        <v>42826</v>
      </c>
      <c r="N88" s="289"/>
      <c r="O88" s="17"/>
      <c r="P88" s="17"/>
      <c r="Q88" s="17"/>
      <c r="R88" s="17"/>
      <c r="S88" s="17"/>
      <c r="T88" s="17"/>
      <c r="U88" s="18">
        <f>РПЗ!P88</f>
        <v>42917</v>
      </c>
      <c r="V88" s="17"/>
      <c r="W88" s="285">
        <f>РПЗ!L88</f>
        <v>800000</v>
      </c>
      <c r="X88" s="286"/>
      <c r="Y88" s="286"/>
      <c r="Z88" s="300"/>
      <c r="AA88" s="287"/>
      <c r="AB88" s="116"/>
      <c r="AC88" s="17"/>
      <c r="AD88" s="288"/>
      <c r="AE88" s="17"/>
      <c r="AF88" s="287"/>
      <c r="AG88" s="116"/>
      <c r="AH88" s="285" t="str">
        <f>IF(Таблица5[[#This Row],[30]]=0,"НД",Таблица5[[#This Row],[20]]-Таблица5[[#This Row],[30]])</f>
        <v>НД</v>
      </c>
      <c r="AI88" s="693" t="str">
        <f>IF(((1-Таблица5[[#This Row],[30]]/Таблица5[[#This Row],[20]])=1),"НД",(1-Таблица5[[#This Row],[30]]/Таблица5[[#This Row],[20]]))</f>
        <v>НД</v>
      </c>
      <c r="AJ88" s="116"/>
      <c r="AK88" s="116"/>
      <c r="AL88" s="694"/>
      <c r="AM88" s="51"/>
      <c r="AN88" s="288"/>
      <c r="AO88" s="377">
        <f>IF(Таблица5[[#This Row],[11]]=0,,MONTH(Таблица5[[#This Row],[11]]))</f>
        <v>0</v>
      </c>
    </row>
    <row r="89" spans="1:41" ht="80.099999999999994" customHeight="1" x14ac:dyDescent="0.25">
      <c r="A89" s="282" t="str">
        <f t="shared" si="1"/>
        <v>0645-00074</v>
      </c>
      <c r="B89" s="282" t="str">
        <f>РПЗ!$D89</f>
        <v xml:space="preserve"> 0645-00074. Поставка микросхем</v>
      </c>
      <c r="C89" s="282" t="str">
        <f>РПЗ!$AA89</f>
        <v>Коммерческий отдел Дорохов Виктор Николаевич +7(812) 532-78-22</v>
      </c>
      <c r="D89" s="15" t="str">
        <f>РПЗ!$AB89</f>
        <v>Заказчик</v>
      </c>
      <c r="E89" s="692"/>
      <c r="F89" s="282" t="str">
        <f>РПЗ!Q89</f>
        <v>ОЗК</v>
      </c>
      <c r="G89" s="287"/>
      <c r="H89" s="287" t="str">
        <f>РПЗ!R89</f>
        <v>Да</v>
      </c>
      <c r="I89" s="15" t="str">
        <f>РПЗ!W89</f>
        <v>не применимо</v>
      </c>
      <c r="J89" s="282" t="str">
        <f>РПЗ!X89</f>
        <v>не применимо</v>
      </c>
      <c r="K89" s="336" t="str">
        <f>РПЗ!Z89</f>
        <v>не применимо</v>
      </c>
      <c r="L89" s="17"/>
      <c r="M89" s="18">
        <f>РПЗ!O89</f>
        <v>42767</v>
      </c>
      <c r="N89" s="289"/>
      <c r="O89" s="17"/>
      <c r="P89" s="17"/>
      <c r="Q89" s="17"/>
      <c r="R89" s="17"/>
      <c r="S89" s="17"/>
      <c r="T89" s="17"/>
      <c r="U89" s="18">
        <f>РПЗ!P89</f>
        <v>42917</v>
      </c>
      <c r="V89" s="17"/>
      <c r="W89" s="285">
        <f>РПЗ!L89</f>
        <v>3703387</v>
      </c>
      <c r="X89" s="286"/>
      <c r="Y89" s="286"/>
      <c r="Z89" s="300"/>
      <c r="AA89" s="287"/>
      <c r="AB89" s="116"/>
      <c r="AC89" s="17"/>
      <c r="AD89" s="288"/>
      <c r="AE89" s="17"/>
      <c r="AF89" s="287"/>
      <c r="AG89" s="116"/>
      <c r="AH89" s="285" t="str">
        <f>IF(Таблица5[[#This Row],[30]]=0,"НД",Таблица5[[#This Row],[20]]-Таблица5[[#This Row],[30]])</f>
        <v>НД</v>
      </c>
      <c r="AI89" s="693" t="str">
        <f>IF(((1-Таблица5[[#This Row],[30]]/Таблица5[[#This Row],[20]])=1),"НД",(1-Таблица5[[#This Row],[30]]/Таблица5[[#This Row],[20]]))</f>
        <v>НД</v>
      </c>
      <c r="AJ89" s="116"/>
      <c r="AK89" s="116"/>
      <c r="AL89" s="694"/>
      <c r="AM89" s="51"/>
      <c r="AN89" s="288"/>
      <c r="AO89" s="377">
        <f>IF(Таблица5[[#This Row],[11]]=0,,MONTH(Таблица5[[#This Row],[11]]))</f>
        <v>0</v>
      </c>
    </row>
    <row r="90" spans="1:41" ht="80.099999999999994" customHeight="1" x14ac:dyDescent="0.25">
      <c r="A90" s="282" t="str">
        <f t="shared" si="1"/>
        <v>0645-00075</v>
      </c>
      <c r="B90" s="282" t="str">
        <f>РПЗ!$D90</f>
        <v xml:space="preserve"> 0645-00075. Поставка микросхем</v>
      </c>
      <c r="C90" s="282" t="str">
        <f>РПЗ!$AA90</f>
        <v>Коммерческий отдел Дорохов Виктор Николаевич +7(812) 532-78-22</v>
      </c>
      <c r="D90" s="15" t="str">
        <f>РПЗ!$AB90</f>
        <v>Заказчик</v>
      </c>
      <c r="E90" s="692"/>
      <c r="F90" s="282" t="str">
        <f>РПЗ!Q90</f>
        <v>ОЗК</v>
      </c>
      <c r="G90" s="287"/>
      <c r="H90" s="287" t="str">
        <f>РПЗ!R90</f>
        <v>Да</v>
      </c>
      <c r="I90" s="15" t="str">
        <f>РПЗ!W90</f>
        <v>не применимо</v>
      </c>
      <c r="J90" s="282" t="str">
        <f>РПЗ!X90</f>
        <v>не применимо</v>
      </c>
      <c r="K90" s="336" t="str">
        <f>РПЗ!Z90</f>
        <v>не применимо</v>
      </c>
      <c r="L90" s="17"/>
      <c r="M90" s="18">
        <f>РПЗ!O90</f>
        <v>42826</v>
      </c>
      <c r="N90" s="289"/>
      <c r="O90" s="17"/>
      <c r="P90" s="17"/>
      <c r="Q90" s="17"/>
      <c r="R90" s="17"/>
      <c r="S90" s="17"/>
      <c r="T90" s="17"/>
      <c r="U90" s="18">
        <f>РПЗ!P90</f>
        <v>42948</v>
      </c>
      <c r="V90" s="17"/>
      <c r="W90" s="285">
        <f>РПЗ!L90</f>
        <v>1939000</v>
      </c>
      <c r="X90" s="286"/>
      <c r="Y90" s="286"/>
      <c r="Z90" s="300"/>
      <c r="AA90" s="287"/>
      <c r="AB90" s="116"/>
      <c r="AC90" s="17"/>
      <c r="AD90" s="288"/>
      <c r="AE90" s="17"/>
      <c r="AF90" s="287"/>
      <c r="AG90" s="116"/>
      <c r="AH90" s="285" t="str">
        <f>IF(Таблица5[[#This Row],[30]]=0,"НД",Таблица5[[#This Row],[20]]-Таблица5[[#This Row],[30]])</f>
        <v>НД</v>
      </c>
      <c r="AI90" s="693" t="str">
        <f>IF(((1-Таблица5[[#This Row],[30]]/Таблица5[[#This Row],[20]])=1),"НД",(1-Таблица5[[#This Row],[30]]/Таблица5[[#This Row],[20]]))</f>
        <v>НД</v>
      </c>
      <c r="AJ90" s="116"/>
      <c r="AK90" s="116"/>
      <c r="AL90" s="694"/>
      <c r="AM90" s="51"/>
      <c r="AN90" s="288"/>
      <c r="AO90" s="377">
        <f>IF(Таблица5[[#This Row],[11]]=0,,MONTH(Таблица5[[#This Row],[11]]))</f>
        <v>0</v>
      </c>
    </row>
    <row r="91" spans="1:41" ht="80.099999999999994" customHeight="1" x14ac:dyDescent="0.25">
      <c r="A91" s="282" t="str">
        <f t="shared" si="1"/>
        <v>0645-00076</v>
      </c>
      <c r="B91" s="282" t="str">
        <f>РПЗ!$D91</f>
        <v xml:space="preserve"> 0645-00076. Поставка микросхем</v>
      </c>
      <c r="C91" s="282" t="str">
        <f>РПЗ!$AA91</f>
        <v>Коммерческий отдел Дорохов Виктор Николаевич +7(812) 532-78-22</v>
      </c>
      <c r="D91" s="15" t="str">
        <f>РПЗ!$AB91</f>
        <v>АО ОПК</v>
      </c>
      <c r="E91" s="692"/>
      <c r="F91" s="282" t="str">
        <f>РПЗ!Q91</f>
        <v>ОР</v>
      </c>
      <c r="G91" s="287"/>
      <c r="H91" s="287" t="str">
        <f>РПЗ!R91</f>
        <v>Да</v>
      </c>
      <c r="I91" s="15" t="str">
        <f>РПЗ!W91</f>
        <v>не применимо</v>
      </c>
      <c r="J91" s="282" t="str">
        <f>РПЗ!X91</f>
        <v>не применимо</v>
      </c>
      <c r="K91" s="336" t="str">
        <f>РПЗ!Z91</f>
        <v>не применимо</v>
      </c>
      <c r="L91" s="17"/>
      <c r="M91" s="18">
        <f>РПЗ!O91</f>
        <v>42948</v>
      </c>
      <c r="N91" s="289"/>
      <c r="O91" s="17"/>
      <c r="P91" s="17"/>
      <c r="Q91" s="17"/>
      <c r="R91" s="17"/>
      <c r="S91" s="17"/>
      <c r="T91" s="17"/>
      <c r="U91" s="18">
        <f>РПЗ!P91</f>
        <v>43070</v>
      </c>
      <c r="V91" s="17"/>
      <c r="W91" s="285">
        <f>РПЗ!L91</f>
        <v>7582754</v>
      </c>
      <c r="X91" s="286"/>
      <c r="Y91" s="286"/>
      <c r="Z91" s="300"/>
      <c r="AA91" s="287"/>
      <c r="AB91" s="116"/>
      <c r="AC91" s="17"/>
      <c r="AD91" s="288"/>
      <c r="AE91" s="17"/>
      <c r="AF91" s="287"/>
      <c r="AG91" s="116"/>
      <c r="AH91" s="285" t="str">
        <f>IF(Таблица5[[#This Row],[30]]=0,"НД",Таблица5[[#This Row],[20]]-Таблица5[[#This Row],[30]])</f>
        <v>НД</v>
      </c>
      <c r="AI91" s="693" t="str">
        <f>IF(((1-Таблица5[[#This Row],[30]]/Таблица5[[#This Row],[20]])=1),"НД",(1-Таблица5[[#This Row],[30]]/Таблица5[[#This Row],[20]]))</f>
        <v>НД</v>
      </c>
      <c r="AJ91" s="116"/>
      <c r="AK91" s="116"/>
      <c r="AL91" s="694"/>
      <c r="AM91" s="51"/>
      <c r="AN91" s="288"/>
      <c r="AO91" s="377">
        <f>IF(Таблица5[[#This Row],[11]]=0,,MONTH(Таблица5[[#This Row],[11]]))</f>
        <v>0</v>
      </c>
    </row>
    <row r="92" spans="1:41" ht="80.099999999999994" customHeight="1" x14ac:dyDescent="0.25">
      <c r="A92" s="282" t="str">
        <f t="shared" si="1"/>
        <v>0645-00077</v>
      </c>
      <c r="B92" s="282" t="str">
        <f>РПЗ!$D92</f>
        <v xml:space="preserve"> 0645-00077. Поставка микросхем</v>
      </c>
      <c r="C92" s="282" t="str">
        <f>РПЗ!$AA92</f>
        <v>Коммерческий отдел Дорохов Виктор Николаевич +7(812) 532-78-22</v>
      </c>
      <c r="D92" s="15" t="str">
        <f>РПЗ!$AB92</f>
        <v>АО ОПК</v>
      </c>
      <c r="E92" s="692"/>
      <c r="F92" s="282" t="str">
        <f>РПЗ!Q92</f>
        <v>ОР</v>
      </c>
      <c r="G92" s="287"/>
      <c r="H92" s="287" t="str">
        <f>РПЗ!R92</f>
        <v>Да</v>
      </c>
      <c r="I92" s="15" t="str">
        <f>РПЗ!W92</f>
        <v>не применимо</v>
      </c>
      <c r="J92" s="282" t="str">
        <f>РПЗ!X92</f>
        <v>не применимо</v>
      </c>
      <c r="K92" s="336" t="str">
        <f>РПЗ!Z92</f>
        <v>не применимо</v>
      </c>
      <c r="L92" s="17"/>
      <c r="M92" s="18">
        <f>РПЗ!O92</f>
        <v>42948</v>
      </c>
      <c r="N92" s="289"/>
      <c r="O92" s="17"/>
      <c r="P92" s="17"/>
      <c r="Q92" s="17"/>
      <c r="R92" s="17"/>
      <c r="S92" s="17"/>
      <c r="T92" s="17"/>
      <c r="U92" s="18">
        <f>РПЗ!P92</f>
        <v>43070</v>
      </c>
      <c r="V92" s="17"/>
      <c r="W92" s="285">
        <f>РПЗ!L92</f>
        <v>20853000</v>
      </c>
      <c r="X92" s="286"/>
      <c r="Y92" s="286"/>
      <c r="Z92" s="300"/>
      <c r="AA92" s="287"/>
      <c r="AB92" s="116"/>
      <c r="AC92" s="17"/>
      <c r="AD92" s="288"/>
      <c r="AE92" s="17"/>
      <c r="AF92" s="287"/>
      <c r="AG92" s="116"/>
      <c r="AH92" s="285" t="str">
        <f>IF(Таблица5[[#This Row],[30]]=0,"НД",Таблица5[[#This Row],[20]]-Таблица5[[#This Row],[30]])</f>
        <v>НД</v>
      </c>
      <c r="AI92" s="693" t="str">
        <f>IF(((1-Таблица5[[#This Row],[30]]/Таблица5[[#This Row],[20]])=1),"НД",(1-Таблица5[[#This Row],[30]]/Таблица5[[#This Row],[20]]))</f>
        <v>НД</v>
      </c>
      <c r="AJ92" s="116"/>
      <c r="AK92" s="116"/>
      <c r="AL92" s="694"/>
      <c r="AM92" s="51"/>
      <c r="AN92" s="288"/>
      <c r="AO92" s="377">
        <f>IF(Таблица5[[#This Row],[11]]=0,,MONTH(Таблица5[[#This Row],[11]]))</f>
        <v>0</v>
      </c>
    </row>
    <row r="93" spans="1:41" ht="80.099999999999994" customHeight="1" x14ac:dyDescent="0.25">
      <c r="A93" s="282" t="str">
        <f t="shared" si="1"/>
        <v>0645-00078</v>
      </c>
      <c r="B93" s="282" t="str">
        <f>РПЗ!$D93</f>
        <v xml:space="preserve"> 0645-00078. Поставка кварцевых генераторов</v>
      </c>
      <c r="C93" s="282" t="str">
        <f>РПЗ!$AA93</f>
        <v>Коммерческий отдел Дорохов Виктор Николаевич +7(812) 532-78-22</v>
      </c>
      <c r="D93" s="15" t="str">
        <f>РПЗ!$AB93</f>
        <v>Заказчик</v>
      </c>
      <c r="E93" s="692"/>
      <c r="F93" s="282" t="str">
        <f>РПЗ!Q93</f>
        <v>ОЗК</v>
      </c>
      <c r="G93" s="287"/>
      <c r="H93" s="287" t="str">
        <f>РПЗ!R93</f>
        <v>Да</v>
      </c>
      <c r="I93" s="15" t="str">
        <f>РПЗ!W93</f>
        <v>не применимо</v>
      </c>
      <c r="J93" s="282" t="str">
        <f>РПЗ!X93</f>
        <v>не применимо</v>
      </c>
      <c r="K93" s="336" t="str">
        <f>РПЗ!Z93</f>
        <v>не применимо</v>
      </c>
      <c r="L93" s="17"/>
      <c r="M93" s="18">
        <f>РПЗ!O93</f>
        <v>42795</v>
      </c>
      <c r="N93" s="289"/>
      <c r="O93" s="17"/>
      <c r="P93" s="17"/>
      <c r="Q93" s="17"/>
      <c r="R93" s="17"/>
      <c r="S93" s="17"/>
      <c r="T93" s="17"/>
      <c r="U93" s="18">
        <f>РПЗ!P93</f>
        <v>42887</v>
      </c>
      <c r="V93" s="17"/>
      <c r="W93" s="285">
        <f>РПЗ!L93</f>
        <v>4255820</v>
      </c>
      <c r="X93" s="286"/>
      <c r="Y93" s="286"/>
      <c r="Z93" s="300"/>
      <c r="AA93" s="287"/>
      <c r="AB93" s="116"/>
      <c r="AC93" s="17"/>
      <c r="AD93" s="288"/>
      <c r="AE93" s="17"/>
      <c r="AF93" s="287"/>
      <c r="AG93" s="116"/>
      <c r="AH93" s="285" t="str">
        <f>IF(Таблица5[[#This Row],[30]]=0,"НД",Таблица5[[#This Row],[20]]-Таблица5[[#This Row],[30]])</f>
        <v>НД</v>
      </c>
      <c r="AI93" s="693" t="str">
        <f>IF(((1-Таблица5[[#This Row],[30]]/Таблица5[[#This Row],[20]])=1),"НД",(1-Таблица5[[#This Row],[30]]/Таблица5[[#This Row],[20]]))</f>
        <v>НД</v>
      </c>
      <c r="AJ93" s="116"/>
      <c r="AK93" s="116"/>
      <c r="AL93" s="694"/>
      <c r="AM93" s="51"/>
      <c r="AN93" s="288"/>
      <c r="AO93" s="377">
        <f>IF(Таблица5[[#This Row],[11]]=0,,MONTH(Таблица5[[#This Row],[11]]))</f>
        <v>0</v>
      </c>
    </row>
    <row r="94" spans="1:41" ht="80.099999999999994" customHeight="1" x14ac:dyDescent="0.25">
      <c r="A94" s="282" t="str">
        <f t="shared" si="1"/>
        <v>0645-00079</v>
      </c>
      <c r="B94" s="282" t="str">
        <f>РПЗ!$D94</f>
        <v xml:space="preserve">   0645-00079. Поставка кварцевых генераторов</v>
      </c>
      <c r="C94" s="282" t="str">
        <f>РПЗ!$AA94</f>
        <v>Коммерческий отдел Дорохов Виктор Николаевич +7(812) 532-78-22</v>
      </c>
      <c r="D94" s="15" t="str">
        <f>РПЗ!$AB94</f>
        <v>Заказчик</v>
      </c>
      <c r="E94" s="692"/>
      <c r="F94" s="282" t="str">
        <f>РПЗ!Q94</f>
        <v>ОЗК</v>
      </c>
      <c r="G94" s="287"/>
      <c r="H94" s="287" t="str">
        <f>РПЗ!R94</f>
        <v>Да</v>
      </c>
      <c r="I94" s="15" t="str">
        <f>РПЗ!W94</f>
        <v>не применимо</v>
      </c>
      <c r="J94" s="282" t="str">
        <f>РПЗ!X94</f>
        <v>не применимо</v>
      </c>
      <c r="K94" s="336" t="str">
        <f>РПЗ!Z94</f>
        <v>не применимо</v>
      </c>
      <c r="L94" s="17"/>
      <c r="M94" s="18">
        <f>РПЗ!O94</f>
        <v>42856</v>
      </c>
      <c r="N94" s="289"/>
      <c r="O94" s="17"/>
      <c r="P94" s="17"/>
      <c r="Q94" s="17"/>
      <c r="R94" s="17"/>
      <c r="S94" s="17"/>
      <c r="T94" s="17"/>
      <c r="U94" s="18">
        <f>РПЗ!P94</f>
        <v>42979</v>
      </c>
      <c r="V94" s="17"/>
      <c r="W94" s="285">
        <f>РПЗ!L94</f>
        <v>3024200</v>
      </c>
      <c r="X94" s="286"/>
      <c r="Y94" s="286"/>
      <c r="Z94" s="300"/>
      <c r="AA94" s="287"/>
      <c r="AB94" s="116"/>
      <c r="AC94" s="17"/>
      <c r="AD94" s="288"/>
      <c r="AE94" s="17"/>
      <c r="AF94" s="287"/>
      <c r="AG94" s="116"/>
      <c r="AH94" s="285" t="str">
        <f>IF(Таблица5[[#This Row],[30]]=0,"НД",Таблица5[[#This Row],[20]]-Таблица5[[#This Row],[30]])</f>
        <v>НД</v>
      </c>
      <c r="AI94" s="693" t="str">
        <f>IF(((1-Таблица5[[#This Row],[30]]/Таблица5[[#This Row],[20]])=1),"НД",(1-Таблица5[[#This Row],[30]]/Таблица5[[#This Row],[20]]))</f>
        <v>НД</v>
      </c>
      <c r="AJ94" s="116"/>
      <c r="AK94" s="116"/>
      <c r="AL94" s="694"/>
      <c r="AM94" s="51"/>
      <c r="AN94" s="288"/>
      <c r="AO94" s="377">
        <f>IF(Таблица5[[#This Row],[11]]=0,,MONTH(Таблица5[[#This Row],[11]]))</f>
        <v>0</v>
      </c>
    </row>
    <row r="95" spans="1:41" ht="80.099999999999994" customHeight="1" x14ac:dyDescent="0.25">
      <c r="A95" s="282" t="str">
        <f t="shared" si="1"/>
        <v>0645-00080</v>
      </c>
      <c r="B95" s="282" t="str">
        <f>РПЗ!$D95</f>
        <v xml:space="preserve">  0645-00080. Поставка кварцевых генераторов</v>
      </c>
      <c r="C95" s="282" t="str">
        <f>РПЗ!$AA95</f>
        <v>Коммерческий отдел Дорохов Виктор Николаевич +7(812) 532-78-22</v>
      </c>
      <c r="D95" s="15" t="str">
        <f>РПЗ!$AB95</f>
        <v>Заказчик</v>
      </c>
      <c r="E95" s="692"/>
      <c r="F95" s="282" t="str">
        <f>РПЗ!Q95</f>
        <v>ОЗК</v>
      </c>
      <c r="G95" s="287"/>
      <c r="H95" s="287" t="str">
        <f>РПЗ!R95</f>
        <v>Да</v>
      </c>
      <c r="I95" s="15" t="str">
        <f>РПЗ!W95</f>
        <v>не применимо</v>
      </c>
      <c r="J95" s="282" t="str">
        <f>РПЗ!X95</f>
        <v>не применимо</v>
      </c>
      <c r="K95" s="336" t="str">
        <f>РПЗ!Z95</f>
        <v>не применимо</v>
      </c>
      <c r="L95" s="17"/>
      <c r="M95" s="18">
        <f>РПЗ!O95</f>
        <v>42917</v>
      </c>
      <c r="N95" s="289"/>
      <c r="O95" s="17"/>
      <c r="P95" s="17"/>
      <c r="Q95" s="17"/>
      <c r="R95" s="17"/>
      <c r="S95" s="17"/>
      <c r="T95" s="17"/>
      <c r="U95" s="18">
        <f>РПЗ!P95</f>
        <v>42979</v>
      </c>
      <c r="V95" s="17"/>
      <c r="W95" s="285">
        <f>РПЗ!L95</f>
        <v>699500</v>
      </c>
      <c r="X95" s="286"/>
      <c r="Y95" s="286"/>
      <c r="Z95" s="300"/>
      <c r="AA95" s="287"/>
      <c r="AB95" s="116"/>
      <c r="AC95" s="17"/>
      <c r="AD95" s="288"/>
      <c r="AE95" s="17"/>
      <c r="AF95" s="287"/>
      <c r="AG95" s="116"/>
      <c r="AH95" s="285" t="str">
        <f>IF(Таблица5[[#This Row],[30]]=0,"НД",Таблица5[[#This Row],[20]]-Таблица5[[#This Row],[30]])</f>
        <v>НД</v>
      </c>
      <c r="AI95" s="693" t="str">
        <f>IF(((1-Таблица5[[#This Row],[30]]/Таблица5[[#This Row],[20]])=1),"НД",(1-Таблица5[[#This Row],[30]]/Таблица5[[#This Row],[20]]))</f>
        <v>НД</v>
      </c>
      <c r="AJ95" s="116"/>
      <c r="AK95" s="116"/>
      <c r="AL95" s="694"/>
      <c r="AM95" s="51"/>
      <c r="AN95" s="288"/>
      <c r="AO95" s="377">
        <f>IF(Таблица5[[#This Row],[11]]=0,,MONTH(Таблица5[[#This Row],[11]]))</f>
        <v>0</v>
      </c>
    </row>
    <row r="96" spans="1:41" ht="80.099999999999994" customHeight="1" x14ac:dyDescent="0.25">
      <c r="A96" s="282" t="str">
        <f t="shared" si="1"/>
        <v>0645-00081</v>
      </c>
      <c r="B96" s="282" t="str">
        <f>РПЗ!$D96</f>
        <v xml:space="preserve"> 0645-00081.  Поставка кварцевых генераторов</v>
      </c>
      <c r="C96" s="282" t="str">
        <f>РПЗ!$AA96</f>
        <v>Коммерческий отдел Дорохов Виктор Николаевич +7(812) 532-78-22</v>
      </c>
      <c r="D96" s="15" t="str">
        <f>РПЗ!$AB96</f>
        <v>Заказчик</v>
      </c>
      <c r="E96" s="692"/>
      <c r="F96" s="282" t="str">
        <f>РПЗ!Q96</f>
        <v>ОЗК</v>
      </c>
      <c r="G96" s="287"/>
      <c r="H96" s="287" t="str">
        <f>РПЗ!R96</f>
        <v>Да</v>
      </c>
      <c r="I96" s="15" t="str">
        <f>РПЗ!W96</f>
        <v>не применимо</v>
      </c>
      <c r="J96" s="282" t="str">
        <f>РПЗ!X96</f>
        <v>не применимо</v>
      </c>
      <c r="K96" s="336" t="str">
        <f>РПЗ!Z96</f>
        <v>не применимо</v>
      </c>
      <c r="L96" s="17"/>
      <c r="M96" s="18">
        <f>РПЗ!O96</f>
        <v>42979</v>
      </c>
      <c r="N96" s="289"/>
      <c r="O96" s="17"/>
      <c r="P96" s="17"/>
      <c r="Q96" s="17"/>
      <c r="R96" s="17"/>
      <c r="S96" s="17"/>
      <c r="T96" s="17"/>
      <c r="U96" s="18">
        <f>РПЗ!P96</f>
        <v>43070</v>
      </c>
      <c r="V96" s="17"/>
      <c r="W96" s="285">
        <f>РПЗ!L96</f>
        <v>2326000</v>
      </c>
      <c r="X96" s="286"/>
      <c r="Y96" s="286"/>
      <c r="Z96" s="300"/>
      <c r="AA96" s="287"/>
      <c r="AB96" s="116"/>
      <c r="AC96" s="17"/>
      <c r="AD96" s="288"/>
      <c r="AE96" s="17"/>
      <c r="AF96" s="287"/>
      <c r="AG96" s="116"/>
      <c r="AH96" s="285" t="str">
        <f>IF(Таблица5[[#This Row],[30]]=0,"НД",Таблица5[[#This Row],[20]]-Таблица5[[#This Row],[30]])</f>
        <v>НД</v>
      </c>
      <c r="AI96" s="693" t="str">
        <f>IF(((1-Таблица5[[#This Row],[30]]/Таблица5[[#This Row],[20]])=1),"НД",(1-Таблица5[[#This Row],[30]]/Таблица5[[#This Row],[20]]))</f>
        <v>НД</v>
      </c>
      <c r="AJ96" s="116"/>
      <c r="AK96" s="116"/>
      <c r="AL96" s="694"/>
      <c r="AM96" s="51"/>
      <c r="AN96" s="288"/>
      <c r="AO96" s="377">
        <f>IF(Таблица5[[#This Row],[11]]=0,,MONTH(Таблица5[[#This Row],[11]]))</f>
        <v>0</v>
      </c>
    </row>
    <row r="97" spans="1:41" ht="80.099999999999994" customHeight="1" x14ac:dyDescent="0.25">
      <c r="A97" s="282" t="str">
        <f t="shared" si="1"/>
        <v>0645-00082</v>
      </c>
      <c r="B97" s="282" t="str">
        <f>РПЗ!$D97</f>
        <v xml:space="preserve">  0645-00082. Поставка соединителей</v>
      </c>
      <c r="C97" s="282" t="str">
        <f>РПЗ!$AA97</f>
        <v>Коммерческий отдел Дорохов Виктор Николаевич +7(812) 532-78-22</v>
      </c>
      <c r="D97" s="15" t="str">
        <f>РПЗ!$AB97</f>
        <v>Заказчик</v>
      </c>
      <c r="E97" s="692"/>
      <c r="F97" s="282" t="str">
        <f>РПЗ!Q97</f>
        <v>ОЗК</v>
      </c>
      <c r="G97" s="287"/>
      <c r="H97" s="287" t="str">
        <f>РПЗ!R97</f>
        <v>Да</v>
      </c>
      <c r="I97" s="15" t="str">
        <f>РПЗ!W97</f>
        <v>не применимо</v>
      </c>
      <c r="J97" s="282" t="str">
        <f>РПЗ!X97</f>
        <v>не применимо</v>
      </c>
      <c r="K97" s="336" t="str">
        <f>РПЗ!Z97</f>
        <v>не применимо</v>
      </c>
      <c r="L97" s="17"/>
      <c r="M97" s="18">
        <f>РПЗ!O97</f>
        <v>42767</v>
      </c>
      <c r="N97" s="289"/>
      <c r="O97" s="17"/>
      <c r="P97" s="17"/>
      <c r="Q97" s="17"/>
      <c r="R97" s="17"/>
      <c r="S97" s="17"/>
      <c r="T97" s="17"/>
      <c r="U97" s="18">
        <f>РПЗ!P97</f>
        <v>42856</v>
      </c>
      <c r="V97" s="17"/>
      <c r="W97" s="285">
        <f>РПЗ!L97</f>
        <v>1971311.85</v>
      </c>
      <c r="X97" s="286"/>
      <c r="Y97" s="286"/>
      <c r="Z97" s="300"/>
      <c r="AA97" s="287"/>
      <c r="AB97" s="116"/>
      <c r="AC97" s="17"/>
      <c r="AD97" s="288"/>
      <c r="AE97" s="17"/>
      <c r="AF97" s="287"/>
      <c r="AG97" s="116"/>
      <c r="AH97" s="285" t="str">
        <f>IF(Таблица5[[#This Row],[30]]=0,"НД",Таблица5[[#This Row],[20]]-Таблица5[[#This Row],[30]])</f>
        <v>НД</v>
      </c>
      <c r="AI97" s="693" t="str">
        <f>IF(((1-Таблица5[[#This Row],[30]]/Таблица5[[#This Row],[20]])=1),"НД",(1-Таблица5[[#This Row],[30]]/Таблица5[[#This Row],[20]]))</f>
        <v>НД</v>
      </c>
      <c r="AJ97" s="116"/>
      <c r="AK97" s="116"/>
      <c r="AL97" s="694"/>
      <c r="AM97" s="51"/>
      <c r="AN97" s="288"/>
      <c r="AO97" s="377">
        <f>IF(Таблица5[[#This Row],[11]]=0,,MONTH(Таблица5[[#This Row],[11]]))</f>
        <v>0</v>
      </c>
    </row>
    <row r="98" spans="1:41" ht="80.099999999999994" customHeight="1" x14ac:dyDescent="0.25">
      <c r="A98" s="282" t="str">
        <f t="shared" si="1"/>
        <v>0645-00083</v>
      </c>
      <c r="B98" s="282" t="str">
        <f>РПЗ!$D98</f>
        <v xml:space="preserve">  0645-00083. Поставка соединителей и установочных изделий</v>
      </c>
      <c r="C98" s="282" t="str">
        <f>РПЗ!$AA98</f>
        <v>Коммерческий отдел Дорохов Виктор Николаевич +7(812) 532-78-22</v>
      </c>
      <c r="D98" s="15" t="str">
        <f>РПЗ!$AB98</f>
        <v>Заказчик</v>
      </c>
      <c r="E98" s="692"/>
      <c r="F98" s="282" t="str">
        <f>РПЗ!Q98</f>
        <v>ОЗК</v>
      </c>
      <c r="G98" s="287"/>
      <c r="H98" s="287" t="str">
        <f>РПЗ!R98</f>
        <v>Да</v>
      </c>
      <c r="I98" s="15" t="str">
        <f>РПЗ!W98</f>
        <v>не применимо</v>
      </c>
      <c r="J98" s="282" t="str">
        <f>РПЗ!X98</f>
        <v>не применимо</v>
      </c>
      <c r="K98" s="336" t="str">
        <f>РПЗ!Z98</f>
        <v>не применимо</v>
      </c>
      <c r="L98" s="17"/>
      <c r="M98" s="18">
        <f>РПЗ!O98</f>
        <v>42826</v>
      </c>
      <c r="N98" s="289"/>
      <c r="O98" s="17"/>
      <c r="P98" s="17"/>
      <c r="Q98" s="17"/>
      <c r="R98" s="17"/>
      <c r="S98" s="17"/>
      <c r="T98" s="17"/>
      <c r="U98" s="18">
        <f>РПЗ!P98</f>
        <v>42979</v>
      </c>
      <c r="V98" s="17"/>
      <c r="W98" s="285">
        <f>РПЗ!L98</f>
        <v>1314207.8999999999</v>
      </c>
      <c r="X98" s="286"/>
      <c r="Y98" s="286"/>
      <c r="Z98" s="300"/>
      <c r="AA98" s="287"/>
      <c r="AB98" s="116"/>
      <c r="AC98" s="17"/>
      <c r="AD98" s="288"/>
      <c r="AE98" s="17"/>
      <c r="AF98" s="287"/>
      <c r="AG98" s="116"/>
      <c r="AH98" s="285" t="str">
        <f>IF(Таблица5[[#This Row],[30]]=0,"НД",Таблица5[[#This Row],[20]]-Таблица5[[#This Row],[30]])</f>
        <v>НД</v>
      </c>
      <c r="AI98" s="693" t="str">
        <f>IF(((1-Таблица5[[#This Row],[30]]/Таблица5[[#This Row],[20]])=1),"НД",(1-Таблица5[[#This Row],[30]]/Таблица5[[#This Row],[20]]))</f>
        <v>НД</v>
      </c>
      <c r="AJ98" s="116"/>
      <c r="AK98" s="116"/>
      <c r="AL98" s="694"/>
      <c r="AM98" s="51"/>
      <c r="AN98" s="288"/>
      <c r="AO98" s="377">
        <f>IF(Таблица5[[#This Row],[11]]=0,,MONTH(Таблица5[[#This Row],[11]]))</f>
        <v>0</v>
      </c>
    </row>
    <row r="99" spans="1:41" ht="80.099999999999994" customHeight="1" x14ac:dyDescent="0.25">
      <c r="A99" s="282" t="str">
        <f t="shared" si="1"/>
        <v>0645-00084</v>
      </c>
      <c r="B99" s="282" t="str">
        <f>РПЗ!$D99</f>
        <v xml:space="preserve">  0645-00084. Поставка соединителей</v>
      </c>
      <c r="C99" s="282" t="str">
        <f>РПЗ!$AA99</f>
        <v>Коммерческий отдел Дорохов Виктор Николаевич +7(812) 532-78-22</v>
      </c>
      <c r="D99" s="15" t="str">
        <f>РПЗ!$AB99</f>
        <v>Заказчик</v>
      </c>
      <c r="E99" s="692"/>
      <c r="F99" s="282" t="str">
        <f>РПЗ!Q99</f>
        <v>ОЗК</v>
      </c>
      <c r="G99" s="287"/>
      <c r="H99" s="287" t="str">
        <f>РПЗ!R99</f>
        <v>Да</v>
      </c>
      <c r="I99" s="15" t="str">
        <f>РПЗ!W99</f>
        <v>не применимо</v>
      </c>
      <c r="J99" s="282" t="str">
        <f>РПЗ!X99</f>
        <v>не применимо</v>
      </c>
      <c r="K99" s="336" t="str">
        <f>РПЗ!Z99</f>
        <v>не применимо</v>
      </c>
      <c r="L99" s="17"/>
      <c r="M99" s="18">
        <f>РПЗ!O99</f>
        <v>42856</v>
      </c>
      <c r="N99" s="289"/>
      <c r="O99" s="17"/>
      <c r="P99" s="17"/>
      <c r="Q99" s="17"/>
      <c r="R99" s="17"/>
      <c r="S99" s="17"/>
      <c r="T99" s="17"/>
      <c r="U99" s="18">
        <f>РПЗ!P99</f>
        <v>43070</v>
      </c>
      <c r="V99" s="17"/>
      <c r="W99" s="285">
        <f>РПЗ!L99</f>
        <v>3285519.75</v>
      </c>
      <c r="X99" s="286"/>
      <c r="Y99" s="286"/>
      <c r="Z99" s="300"/>
      <c r="AA99" s="287"/>
      <c r="AB99" s="116"/>
      <c r="AC99" s="17"/>
      <c r="AD99" s="288"/>
      <c r="AE99" s="17"/>
      <c r="AF99" s="287"/>
      <c r="AG99" s="116"/>
      <c r="AH99" s="285" t="str">
        <f>IF(Таблица5[[#This Row],[30]]=0,"НД",Таблица5[[#This Row],[20]]-Таблица5[[#This Row],[30]])</f>
        <v>НД</v>
      </c>
      <c r="AI99" s="693" t="str">
        <f>IF(((1-Таблица5[[#This Row],[30]]/Таблица5[[#This Row],[20]])=1),"НД",(1-Таблица5[[#This Row],[30]]/Таблица5[[#This Row],[20]]))</f>
        <v>НД</v>
      </c>
      <c r="AJ99" s="116"/>
      <c r="AK99" s="116"/>
      <c r="AL99" s="694"/>
      <c r="AM99" s="51"/>
      <c r="AN99" s="288"/>
      <c r="AO99" s="377">
        <f>IF(Таблица5[[#This Row],[11]]=0,,MONTH(Таблица5[[#This Row],[11]]))</f>
        <v>0</v>
      </c>
    </row>
    <row r="100" spans="1:41" ht="80.099999999999994" customHeight="1" x14ac:dyDescent="0.25">
      <c r="A100" s="282" t="str">
        <f t="shared" si="1"/>
        <v>0645-00085</v>
      </c>
      <c r="B100" s="282" t="str">
        <f>РПЗ!$D100</f>
        <v xml:space="preserve">  0645-00085. Поставка соединителей и установочных изделий</v>
      </c>
      <c r="C100" s="282" t="str">
        <f>РПЗ!$AA100</f>
        <v>Коммерческий отдел Дорохов Виктор Николаевич +7(812) 532-78-22</v>
      </c>
      <c r="D100" s="15" t="str">
        <f>РПЗ!$AB100</f>
        <v>Заказчик</v>
      </c>
      <c r="E100" s="692"/>
      <c r="F100" s="282" t="str">
        <f>РПЗ!Q100</f>
        <v>ОЗК</v>
      </c>
      <c r="G100" s="287"/>
      <c r="H100" s="287" t="str">
        <f>РПЗ!R100</f>
        <v>Да</v>
      </c>
      <c r="I100" s="15" t="str">
        <f>РПЗ!W100</f>
        <v>не применимо</v>
      </c>
      <c r="J100" s="282" t="str">
        <f>РПЗ!X100</f>
        <v>не применимо</v>
      </c>
      <c r="K100" s="336" t="str">
        <f>РПЗ!Z100</f>
        <v>не применимо</v>
      </c>
      <c r="L100" s="17"/>
      <c r="M100" s="18">
        <f>РПЗ!O100</f>
        <v>42887</v>
      </c>
      <c r="N100" s="289"/>
      <c r="O100" s="17"/>
      <c r="P100" s="17"/>
      <c r="Q100" s="17"/>
      <c r="R100" s="17"/>
      <c r="S100" s="17"/>
      <c r="T100" s="17"/>
      <c r="U100" s="18">
        <f>РПЗ!P100</f>
        <v>42979</v>
      </c>
      <c r="V100" s="17"/>
      <c r="W100" s="285">
        <f>РПЗ!L100</f>
        <v>2628415.7999999998</v>
      </c>
      <c r="X100" s="286"/>
      <c r="Y100" s="286"/>
      <c r="Z100" s="300"/>
      <c r="AA100" s="287"/>
      <c r="AB100" s="116"/>
      <c r="AC100" s="17"/>
      <c r="AD100" s="288"/>
      <c r="AE100" s="17"/>
      <c r="AF100" s="287"/>
      <c r="AG100" s="116"/>
      <c r="AH100" s="285" t="str">
        <f>IF(Таблица5[[#This Row],[30]]=0,"НД",Таблица5[[#This Row],[20]]-Таблица5[[#This Row],[30]])</f>
        <v>НД</v>
      </c>
      <c r="AI100" s="693" t="str">
        <f>IF(((1-Таблица5[[#This Row],[30]]/Таблица5[[#This Row],[20]])=1),"НД",(1-Таблица5[[#This Row],[30]]/Таблица5[[#This Row],[20]]))</f>
        <v>НД</v>
      </c>
      <c r="AJ100" s="116"/>
      <c r="AK100" s="116"/>
      <c r="AL100" s="694"/>
      <c r="AM100" s="51"/>
      <c r="AN100" s="288"/>
      <c r="AO100" s="377">
        <f>IF(Таблица5[[#This Row],[11]]=0,,MONTH(Таблица5[[#This Row],[11]]))</f>
        <v>0</v>
      </c>
    </row>
    <row r="101" spans="1:41" ht="80.099999999999994" customHeight="1" x14ac:dyDescent="0.25">
      <c r="A101" s="282" t="str">
        <f t="shared" si="1"/>
        <v>0645-00086</v>
      </c>
      <c r="B101" s="282" t="str">
        <f>РПЗ!$D101</f>
        <v xml:space="preserve">  0645-00086. Поставка соединителей</v>
      </c>
      <c r="C101" s="282" t="str">
        <f>РПЗ!$AA101</f>
        <v>Коммерческий отдел Дорохов Виктор Николаевич +7(812) 532-78-22</v>
      </c>
      <c r="D101" s="15" t="str">
        <f>РПЗ!$AB101</f>
        <v>Заказчик</v>
      </c>
      <c r="E101" s="692"/>
      <c r="F101" s="282" t="str">
        <f>РПЗ!Q101</f>
        <v>ОЗК</v>
      </c>
      <c r="G101" s="287"/>
      <c r="H101" s="287" t="str">
        <f>РПЗ!R101</f>
        <v>Да</v>
      </c>
      <c r="I101" s="15" t="str">
        <f>РПЗ!W101</f>
        <v>не применимо</v>
      </c>
      <c r="J101" s="282" t="str">
        <f>РПЗ!X101</f>
        <v>не применимо</v>
      </c>
      <c r="K101" s="336" t="str">
        <f>РПЗ!Z101</f>
        <v>не применимо</v>
      </c>
      <c r="L101" s="17"/>
      <c r="M101" s="18">
        <f>РПЗ!O101</f>
        <v>42948</v>
      </c>
      <c r="N101" s="289"/>
      <c r="O101" s="17"/>
      <c r="P101" s="17"/>
      <c r="Q101" s="17"/>
      <c r="R101" s="17"/>
      <c r="S101" s="17"/>
      <c r="T101" s="17"/>
      <c r="U101" s="18">
        <f>РПЗ!P101</f>
        <v>43040</v>
      </c>
      <c r="V101" s="17"/>
      <c r="W101" s="285">
        <f>РПЗ!L101</f>
        <v>3942623.7</v>
      </c>
      <c r="X101" s="286"/>
      <c r="Y101" s="286"/>
      <c r="Z101" s="300"/>
      <c r="AA101" s="287"/>
      <c r="AB101" s="116"/>
      <c r="AC101" s="17"/>
      <c r="AD101" s="288"/>
      <c r="AE101" s="17"/>
      <c r="AF101" s="287"/>
      <c r="AG101" s="116"/>
      <c r="AH101" s="285" t="str">
        <f>IF(Таблица5[[#This Row],[30]]=0,"НД",Таблица5[[#This Row],[20]]-Таблица5[[#This Row],[30]])</f>
        <v>НД</v>
      </c>
      <c r="AI101" s="693" t="str">
        <f>IF(((1-Таблица5[[#This Row],[30]]/Таблица5[[#This Row],[20]])=1),"НД",(1-Таблица5[[#This Row],[30]]/Таблица5[[#This Row],[20]]))</f>
        <v>НД</v>
      </c>
      <c r="AJ101" s="116"/>
      <c r="AK101" s="116"/>
      <c r="AL101" s="694"/>
      <c r="AM101" s="51"/>
      <c r="AN101" s="288"/>
      <c r="AO101" s="377">
        <f>IF(Таблица5[[#This Row],[11]]=0,,MONTH(Таблица5[[#This Row],[11]]))</f>
        <v>0</v>
      </c>
    </row>
    <row r="102" spans="1:41" ht="80.099999999999994" customHeight="1" x14ac:dyDescent="0.25">
      <c r="A102" s="282" t="str">
        <f t="shared" si="1"/>
        <v>0645-00087</v>
      </c>
      <c r="B102" s="282" t="str">
        <f>РПЗ!$D102</f>
        <v xml:space="preserve">  0645-00087. Поставка электрорадиоизделий</v>
      </c>
      <c r="C102" s="282" t="str">
        <f>РПЗ!$AA102</f>
        <v>Коммерческий отдел Дорохов Виктор Николаевич +7(812) 532-78-22</v>
      </c>
      <c r="D102" s="15" t="str">
        <f>РПЗ!$AB102</f>
        <v>Заказчик</v>
      </c>
      <c r="E102" s="692"/>
      <c r="F102" s="282" t="str">
        <f>РПЗ!Q102</f>
        <v>ОЗК</v>
      </c>
      <c r="G102" s="287"/>
      <c r="H102" s="287" t="str">
        <f>РПЗ!R102</f>
        <v>Да</v>
      </c>
      <c r="I102" s="15" t="str">
        <f>РПЗ!W102</f>
        <v>не применимо</v>
      </c>
      <c r="J102" s="282" t="str">
        <f>РПЗ!X102</f>
        <v>не применимо</v>
      </c>
      <c r="K102" s="336" t="str">
        <f>РПЗ!Z102</f>
        <v>не применимо</v>
      </c>
      <c r="L102" s="17"/>
      <c r="M102" s="18">
        <f>РПЗ!O102</f>
        <v>42767</v>
      </c>
      <c r="N102" s="289"/>
      <c r="O102" s="17"/>
      <c r="P102" s="17"/>
      <c r="Q102" s="17"/>
      <c r="R102" s="17"/>
      <c r="S102" s="17"/>
      <c r="T102" s="17"/>
      <c r="U102" s="18">
        <f>РПЗ!P102</f>
        <v>42856</v>
      </c>
      <c r="V102" s="17"/>
      <c r="W102" s="285">
        <f>РПЗ!L102</f>
        <v>508304.3</v>
      </c>
      <c r="X102" s="286"/>
      <c r="Y102" s="286"/>
      <c r="Z102" s="300"/>
      <c r="AA102" s="287"/>
      <c r="AB102" s="116"/>
      <c r="AC102" s="17"/>
      <c r="AD102" s="288"/>
      <c r="AE102" s="17"/>
      <c r="AF102" s="287"/>
      <c r="AG102" s="116"/>
      <c r="AH102" s="285" t="str">
        <f>IF(Таблица5[[#This Row],[30]]=0,"НД",Таблица5[[#This Row],[20]]-Таблица5[[#This Row],[30]])</f>
        <v>НД</v>
      </c>
      <c r="AI102" s="693" t="str">
        <f>IF(((1-Таблица5[[#This Row],[30]]/Таблица5[[#This Row],[20]])=1),"НД",(1-Таблица5[[#This Row],[30]]/Таблица5[[#This Row],[20]]))</f>
        <v>НД</v>
      </c>
      <c r="AJ102" s="116"/>
      <c r="AK102" s="116"/>
      <c r="AL102" s="694"/>
      <c r="AM102" s="51"/>
      <c r="AN102" s="288"/>
      <c r="AO102" s="377">
        <f>IF(Таблица5[[#This Row],[11]]=0,,MONTH(Таблица5[[#This Row],[11]]))</f>
        <v>0</v>
      </c>
    </row>
    <row r="103" spans="1:41" ht="80.099999999999994" customHeight="1" x14ac:dyDescent="0.25">
      <c r="A103" s="282" t="str">
        <f t="shared" si="1"/>
        <v>0645-00088</v>
      </c>
      <c r="B103" s="282" t="str">
        <f>РПЗ!$D103</f>
        <v xml:space="preserve">  0645-00088. Поставка электрорадиоизделий</v>
      </c>
      <c r="C103" s="282" t="str">
        <f>РПЗ!$AA103</f>
        <v>Коммерческий отдел Дорохов Виктор Николаевич +7(812) 532-78-22</v>
      </c>
      <c r="D103" s="15" t="str">
        <f>РПЗ!$AB103</f>
        <v>Заказчик</v>
      </c>
      <c r="E103" s="692"/>
      <c r="F103" s="282" t="str">
        <f>РПЗ!Q103</f>
        <v>ОЗК</v>
      </c>
      <c r="G103" s="287"/>
      <c r="H103" s="287" t="str">
        <f>РПЗ!R103</f>
        <v>Да</v>
      </c>
      <c r="I103" s="15" t="str">
        <f>РПЗ!W103</f>
        <v>не применимо</v>
      </c>
      <c r="J103" s="282" t="str">
        <f>РПЗ!X103</f>
        <v>не применимо</v>
      </c>
      <c r="K103" s="336" t="str">
        <f>РПЗ!Z103</f>
        <v>не применимо</v>
      </c>
      <c r="L103" s="17"/>
      <c r="M103" s="18">
        <f>РПЗ!O103</f>
        <v>42856</v>
      </c>
      <c r="N103" s="289"/>
      <c r="O103" s="17"/>
      <c r="P103" s="17"/>
      <c r="Q103" s="17"/>
      <c r="R103" s="17"/>
      <c r="S103" s="17"/>
      <c r="T103" s="17"/>
      <c r="U103" s="18">
        <f>РПЗ!P103</f>
        <v>42979</v>
      </c>
      <c r="V103" s="17"/>
      <c r="W103" s="285">
        <f>РПЗ!L103</f>
        <v>1270760.75</v>
      </c>
      <c r="X103" s="286"/>
      <c r="Y103" s="286"/>
      <c r="Z103" s="300"/>
      <c r="AA103" s="287"/>
      <c r="AB103" s="116"/>
      <c r="AC103" s="17"/>
      <c r="AD103" s="288"/>
      <c r="AE103" s="17"/>
      <c r="AF103" s="287"/>
      <c r="AG103" s="116"/>
      <c r="AH103" s="285" t="str">
        <f>IF(Таблица5[[#This Row],[30]]=0,"НД",Таблица5[[#This Row],[20]]-Таблица5[[#This Row],[30]])</f>
        <v>НД</v>
      </c>
      <c r="AI103" s="693" t="str">
        <f>IF(((1-Таблица5[[#This Row],[30]]/Таблица5[[#This Row],[20]])=1),"НД",(1-Таблица5[[#This Row],[30]]/Таблица5[[#This Row],[20]]))</f>
        <v>НД</v>
      </c>
      <c r="AJ103" s="116"/>
      <c r="AK103" s="116"/>
      <c r="AL103" s="694"/>
      <c r="AM103" s="51"/>
      <c r="AN103" s="288"/>
      <c r="AO103" s="377">
        <f>IF(Таблица5[[#This Row],[11]]=0,,MONTH(Таблица5[[#This Row],[11]]))</f>
        <v>0</v>
      </c>
    </row>
    <row r="104" spans="1:41" ht="80.099999999999994" customHeight="1" x14ac:dyDescent="0.25">
      <c r="A104" s="282" t="str">
        <f t="shared" si="1"/>
        <v>0645-00089</v>
      </c>
      <c r="B104" s="282" t="str">
        <f>РПЗ!$D104</f>
        <v xml:space="preserve">  0645-00089. Поставка электрорадиоизделий</v>
      </c>
      <c r="C104" s="282" t="str">
        <f>РПЗ!$AA104</f>
        <v>Коммерческий отдел Дорохов Виктор Николаевич +7(812) 532-78-22</v>
      </c>
      <c r="D104" s="15" t="str">
        <f>РПЗ!$AB104</f>
        <v>Заказчик</v>
      </c>
      <c r="E104" s="692"/>
      <c r="F104" s="282" t="str">
        <f>РПЗ!Q104</f>
        <v>ОЗК</v>
      </c>
      <c r="G104" s="287"/>
      <c r="H104" s="287" t="str">
        <f>РПЗ!R104</f>
        <v>Да</v>
      </c>
      <c r="I104" s="15" t="str">
        <f>РПЗ!W104</f>
        <v>не применимо</v>
      </c>
      <c r="J104" s="282" t="str">
        <f>РПЗ!X104</f>
        <v>не применимо</v>
      </c>
      <c r="K104" s="336" t="str">
        <f>РПЗ!Z104</f>
        <v>не применимо</v>
      </c>
      <c r="L104" s="17"/>
      <c r="M104" s="18">
        <f>РПЗ!O104</f>
        <v>42917</v>
      </c>
      <c r="N104" s="289"/>
      <c r="O104" s="17"/>
      <c r="P104" s="17"/>
      <c r="Q104" s="17"/>
      <c r="R104" s="17"/>
      <c r="S104" s="17"/>
      <c r="T104" s="17"/>
      <c r="U104" s="18">
        <f>РПЗ!P104</f>
        <v>42979</v>
      </c>
      <c r="V104" s="17"/>
      <c r="W104" s="285">
        <f>РПЗ!L104</f>
        <v>1016608.6</v>
      </c>
      <c r="X104" s="286"/>
      <c r="Y104" s="286"/>
      <c r="Z104" s="300"/>
      <c r="AA104" s="287"/>
      <c r="AB104" s="116"/>
      <c r="AC104" s="17"/>
      <c r="AD104" s="288"/>
      <c r="AE104" s="17"/>
      <c r="AF104" s="287"/>
      <c r="AG104" s="116"/>
      <c r="AH104" s="285" t="str">
        <f>IF(Таблица5[[#This Row],[30]]=0,"НД",Таблица5[[#This Row],[20]]-Таблица5[[#This Row],[30]])</f>
        <v>НД</v>
      </c>
      <c r="AI104" s="693" t="str">
        <f>IF(((1-Таблица5[[#This Row],[30]]/Таблица5[[#This Row],[20]])=1),"НД",(1-Таблица5[[#This Row],[30]]/Таблица5[[#This Row],[20]]))</f>
        <v>НД</v>
      </c>
      <c r="AJ104" s="116"/>
      <c r="AK104" s="116"/>
      <c r="AL104" s="694"/>
      <c r="AM104" s="51"/>
      <c r="AN104" s="288"/>
      <c r="AO104" s="377">
        <f>IF(Таблица5[[#This Row],[11]]=0,,MONTH(Таблица5[[#This Row],[11]]))</f>
        <v>0</v>
      </c>
    </row>
    <row r="105" spans="1:41" ht="80.099999999999994" customHeight="1" x14ac:dyDescent="0.25">
      <c r="A105" s="282" t="str">
        <f t="shared" si="1"/>
        <v>0645-00090</v>
      </c>
      <c r="B105" s="282" t="str">
        <f>РПЗ!$D105</f>
        <v xml:space="preserve">  0645-00090. Поставка электрорадиоизделий</v>
      </c>
      <c r="C105" s="282" t="str">
        <f>РПЗ!$AA105</f>
        <v>Коммерческий отдел Дорохов Виктор Николаевич +7(812) 532-78-22</v>
      </c>
      <c r="D105" s="15" t="str">
        <f>РПЗ!$AB105</f>
        <v>Заказчик</v>
      </c>
      <c r="E105" s="692"/>
      <c r="F105" s="282" t="str">
        <f>РПЗ!Q105</f>
        <v>ОЗК</v>
      </c>
      <c r="G105" s="287"/>
      <c r="H105" s="287" t="str">
        <f>РПЗ!R105</f>
        <v>Да</v>
      </c>
      <c r="I105" s="15" t="str">
        <f>РПЗ!W105</f>
        <v>не применимо</v>
      </c>
      <c r="J105" s="282" t="str">
        <f>РПЗ!X105</f>
        <v>не применимо</v>
      </c>
      <c r="K105" s="336" t="str">
        <f>РПЗ!Z105</f>
        <v>не применимо</v>
      </c>
      <c r="L105" s="17"/>
      <c r="M105" s="18">
        <f>РПЗ!O105</f>
        <v>42979</v>
      </c>
      <c r="N105" s="289"/>
      <c r="O105" s="17"/>
      <c r="P105" s="17"/>
      <c r="Q105" s="17"/>
      <c r="R105" s="17"/>
      <c r="S105" s="17"/>
      <c r="T105" s="17"/>
      <c r="U105" s="18">
        <f>РПЗ!P105</f>
        <v>43070</v>
      </c>
      <c r="V105" s="17"/>
      <c r="W105" s="285">
        <f>РПЗ!L105</f>
        <v>1524912.9</v>
      </c>
      <c r="X105" s="286"/>
      <c r="Y105" s="286"/>
      <c r="Z105" s="300"/>
      <c r="AA105" s="287"/>
      <c r="AB105" s="116"/>
      <c r="AC105" s="17"/>
      <c r="AD105" s="288"/>
      <c r="AE105" s="17"/>
      <c r="AF105" s="287"/>
      <c r="AG105" s="116"/>
      <c r="AH105" s="285" t="str">
        <f>IF(Таблица5[[#This Row],[30]]=0,"НД",Таблица5[[#This Row],[20]]-Таблица5[[#This Row],[30]])</f>
        <v>НД</v>
      </c>
      <c r="AI105" s="693" t="str">
        <f>IF(((1-Таблица5[[#This Row],[30]]/Таблица5[[#This Row],[20]])=1),"НД",(1-Таблица5[[#This Row],[30]]/Таблица5[[#This Row],[20]]))</f>
        <v>НД</v>
      </c>
      <c r="AJ105" s="116"/>
      <c r="AK105" s="116"/>
      <c r="AL105" s="694"/>
      <c r="AM105" s="51"/>
      <c r="AN105" s="288"/>
      <c r="AO105" s="377">
        <f>IF(Таблица5[[#This Row],[11]]=0,,MONTH(Таблица5[[#This Row],[11]]))</f>
        <v>0</v>
      </c>
    </row>
    <row r="106" spans="1:41" ht="80.099999999999994" customHeight="1" x14ac:dyDescent="0.25">
      <c r="A106" s="282" t="str">
        <f t="shared" si="1"/>
        <v>0645-00091</v>
      </c>
      <c r="B106" s="282" t="str">
        <f>РПЗ!$D106</f>
        <v xml:space="preserve">  0645-00091. Поставка электрорадиоизделий</v>
      </c>
      <c r="C106" s="282" t="str">
        <f>РПЗ!$AA106</f>
        <v>Коммерческий отдел Дорохов Виктор Николаевич +7(812) 532-78-22</v>
      </c>
      <c r="D106" s="15" t="str">
        <f>РПЗ!$AB106</f>
        <v>Заказчик</v>
      </c>
      <c r="E106" s="692"/>
      <c r="F106" s="282" t="str">
        <f>РПЗ!Q106</f>
        <v>ОЗК</v>
      </c>
      <c r="G106" s="287"/>
      <c r="H106" s="287" t="str">
        <f>РПЗ!R106</f>
        <v>Да</v>
      </c>
      <c r="I106" s="15" t="str">
        <f>РПЗ!W106</f>
        <v>не применимо</v>
      </c>
      <c r="J106" s="282" t="str">
        <f>РПЗ!X106</f>
        <v>не применимо</v>
      </c>
      <c r="K106" s="336" t="str">
        <f>РПЗ!Z106</f>
        <v>не применимо</v>
      </c>
      <c r="L106" s="17"/>
      <c r="M106" s="18">
        <f>РПЗ!O106</f>
        <v>42795</v>
      </c>
      <c r="N106" s="289"/>
      <c r="O106" s="17"/>
      <c r="P106" s="17"/>
      <c r="Q106" s="17"/>
      <c r="R106" s="17"/>
      <c r="S106" s="17"/>
      <c r="T106" s="17"/>
      <c r="U106" s="18">
        <f>РПЗ!P106</f>
        <v>42887</v>
      </c>
      <c r="V106" s="17"/>
      <c r="W106" s="285">
        <f>РПЗ!L106</f>
        <v>762456.45</v>
      </c>
      <c r="X106" s="286"/>
      <c r="Y106" s="286"/>
      <c r="Z106" s="300"/>
      <c r="AA106" s="287"/>
      <c r="AB106" s="116"/>
      <c r="AC106" s="17"/>
      <c r="AD106" s="288"/>
      <c r="AE106" s="17"/>
      <c r="AF106" s="287"/>
      <c r="AG106" s="116"/>
      <c r="AH106" s="285" t="str">
        <f>IF(Таблица5[[#This Row],[30]]=0,"НД",Таблица5[[#This Row],[20]]-Таблица5[[#This Row],[30]])</f>
        <v>НД</v>
      </c>
      <c r="AI106" s="693" t="str">
        <f>IF(((1-Таблица5[[#This Row],[30]]/Таблица5[[#This Row],[20]])=1),"НД",(1-Таблица5[[#This Row],[30]]/Таблица5[[#This Row],[20]]))</f>
        <v>НД</v>
      </c>
      <c r="AJ106" s="116"/>
      <c r="AK106" s="116"/>
      <c r="AL106" s="694"/>
      <c r="AM106" s="51"/>
      <c r="AN106" s="288"/>
      <c r="AO106" s="377">
        <f>IF(Таблица5[[#This Row],[11]]=0,,MONTH(Таблица5[[#This Row],[11]]))</f>
        <v>0</v>
      </c>
    </row>
    <row r="107" spans="1:41" ht="80.099999999999994" customHeight="1" x14ac:dyDescent="0.25">
      <c r="A107" s="282" t="str">
        <f t="shared" si="1"/>
        <v>0645-00092</v>
      </c>
      <c r="B107" s="282" t="str">
        <f>РПЗ!$D107</f>
        <v>0645-00092.  Поставка модулей вторичного электропитания</v>
      </c>
      <c r="C107" s="282" t="str">
        <f>РПЗ!$AA107</f>
        <v>Коммерческий отдел Дорохов Виктор Николаевич +7(812) 532-78-22</v>
      </c>
      <c r="D107" s="15" t="str">
        <f>РПЗ!$AB107</f>
        <v>Заказчик</v>
      </c>
      <c r="E107" s="692"/>
      <c r="F107" s="282" t="str">
        <f>РПЗ!Q107</f>
        <v>ЕП</v>
      </c>
      <c r="G107" s="287"/>
      <c r="H107" s="287" t="str">
        <f>РПЗ!R107</f>
        <v>Нет</v>
      </c>
      <c r="I107" s="15" t="str">
        <f>РПЗ!W107</f>
        <v>6.6.2(10)</v>
      </c>
      <c r="J107" s="282">
        <f>РПЗ!X107</f>
        <v>7710346180</v>
      </c>
      <c r="K107" s="336">
        <f>РПЗ!Z107</f>
        <v>2477600</v>
      </c>
      <c r="L107" s="17"/>
      <c r="M107" s="18">
        <f>РПЗ!O107</f>
        <v>42767</v>
      </c>
      <c r="N107" s="289"/>
      <c r="O107" s="17"/>
      <c r="P107" s="17"/>
      <c r="Q107" s="17"/>
      <c r="R107" s="17"/>
      <c r="S107" s="17"/>
      <c r="T107" s="17"/>
      <c r="U107" s="18">
        <f>РПЗ!P107</f>
        <v>42887</v>
      </c>
      <c r="V107" s="17"/>
      <c r="W107" s="285">
        <f>РПЗ!L107</f>
        <v>2477600</v>
      </c>
      <c r="X107" s="286"/>
      <c r="Y107" s="286"/>
      <c r="Z107" s="300"/>
      <c r="AA107" s="287"/>
      <c r="AB107" s="116"/>
      <c r="AC107" s="17"/>
      <c r="AD107" s="288"/>
      <c r="AE107" s="17"/>
      <c r="AF107" s="287"/>
      <c r="AG107" s="116"/>
      <c r="AH107" s="285" t="str">
        <f>IF(Таблица5[[#This Row],[30]]=0,"НД",Таблица5[[#This Row],[20]]-Таблица5[[#This Row],[30]])</f>
        <v>НД</v>
      </c>
      <c r="AI107" s="693" t="str">
        <f>IF(((1-Таблица5[[#This Row],[30]]/Таблица5[[#This Row],[20]])=1),"НД",(1-Таблица5[[#This Row],[30]]/Таблица5[[#This Row],[20]]))</f>
        <v>НД</v>
      </c>
      <c r="AJ107" s="116"/>
      <c r="AK107" s="116"/>
      <c r="AL107" s="694"/>
      <c r="AM107" s="51"/>
      <c r="AN107" s="288"/>
      <c r="AO107" s="377">
        <f>IF(Таблица5[[#This Row],[11]]=0,,MONTH(Таблица5[[#This Row],[11]]))</f>
        <v>0</v>
      </c>
    </row>
    <row r="108" spans="1:41" ht="80.099999999999994" customHeight="1" x14ac:dyDescent="0.25">
      <c r="A108" s="282" t="str">
        <f t="shared" si="1"/>
        <v>0645-00093</v>
      </c>
      <c r="B108" s="282" t="str">
        <f>РПЗ!$D108</f>
        <v xml:space="preserve"> 0645-00093. Поставка модулей вторичного электропитания</v>
      </c>
      <c r="C108" s="282" t="str">
        <f>РПЗ!$AA108</f>
        <v>Коммерческий отдел Дорохов Виктор Николаевич +7(812) 532-78-22</v>
      </c>
      <c r="D108" s="15" t="str">
        <f>РПЗ!$AB108</f>
        <v>Заказчик</v>
      </c>
      <c r="E108" s="692"/>
      <c r="F108" s="282" t="str">
        <f>РПЗ!Q108</f>
        <v>ЕП</v>
      </c>
      <c r="G108" s="287"/>
      <c r="H108" s="287" t="str">
        <f>РПЗ!R108</f>
        <v>Нет</v>
      </c>
      <c r="I108" s="15" t="str">
        <f>РПЗ!W108</f>
        <v>6.6.2(10)</v>
      </c>
      <c r="J108" s="282">
        <f>РПЗ!X108</f>
        <v>7710346180</v>
      </c>
      <c r="K108" s="336">
        <f>РПЗ!Z108</f>
        <v>1441200</v>
      </c>
      <c r="L108" s="17"/>
      <c r="M108" s="18">
        <f>РПЗ!O108</f>
        <v>42795</v>
      </c>
      <c r="N108" s="289"/>
      <c r="O108" s="17"/>
      <c r="P108" s="17"/>
      <c r="Q108" s="17"/>
      <c r="R108" s="17"/>
      <c r="S108" s="17"/>
      <c r="T108" s="17"/>
      <c r="U108" s="18">
        <f>РПЗ!P108</f>
        <v>42948</v>
      </c>
      <c r="V108" s="17"/>
      <c r="W108" s="285">
        <f>РПЗ!L108</f>
        <v>1441200</v>
      </c>
      <c r="X108" s="286"/>
      <c r="Y108" s="286"/>
      <c r="Z108" s="300"/>
      <c r="AA108" s="287"/>
      <c r="AB108" s="116"/>
      <c r="AC108" s="17"/>
      <c r="AD108" s="288"/>
      <c r="AE108" s="17"/>
      <c r="AF108" s="287"/>
      <c r="AG108" s="116"/>
      <c r="AH108" s="285" t="str">
        <f>IF(Таблица5[[#This Row],[30]]=0,"НД",Таблица5[[#This Row],[20]]-Таблица5[[#This Row],[30]])</f>
        <v>НД</v>
      </c>
      <c r="AI108" s="693" t="str">
        <f>IF(((1-Таблица5[[#This Row],[30]]/Таблица5[[#This Row],[20]])=1),"НД",(1-Таблица5[[#This Row],[30]]/Таблица5[[#This Row],[20]]))</f>
        <v>НД</v>
      </c>
      <c r="AJ108" s="116"/>
      <c r="AK108" s="116"/>
      <c r="AL108" s="694"/>
      <c r="AM108" s="51"/>
      <c r="AN108" s="288"/>
      <c r="AO108" s="377">
        <f>IF(Таблица5[[#This Row],[11]]=0,,MONTH(Таблица5[[#This Row],[11]]))</f>
        <v>0</v>
      </c>
    </row>
    <row r="109" spans="1:41" ht="80.099999999999994" customHeight="1" x14ac:dyDescent="0.25">
      <c r="A109" s="282" t="str">
        <f t="shared" si="1"/>
        <v>0645-00094</v>
      </c>
      <c r="B109" s="282" t="str">
        <f>РПЗ!$D109</f>
        <v xml:space="preserve"> 0645-00094. Поставка модулей вторичного электропитания</v>
      </c>
      <c r="C109" s="282" t="str">
        <f>РПЗ!$AA109</f>
        <v>Коммерческий отдел Дорохов Виктор Николаевич +7(812) 532-78-22</v>
      </c>
      <c r="D109" s="15" t="str">
        <f>РПЗ!$AB109</f>
        <v>Заказчик</v>
      </c>
      <c r="E109" s="692"/>
      <c r="F109" s="282" t="str">
        <f>РПЗ!Q109</f>
        <v>ЕП</v>
      </c>
      <c r="G109" s="287"/>
      <c r="H109" s="287" t="str">
        <f>РПЗ!R109</f>
        <v>Нет</v>
      </c>
      <c r="I109" s="15" t="str">
        <f>РПЗ!W109</f>
        <v>6.6.2(10)</v>
      </c>
      <c r="J109" s="282">
        <f>РПЗ!X109</f>
        <v>7710346180</v>
      </c>
      <c r="K109" s="336">
        <f>РПЗ!Z109</f>
        <v>442600</v>
      </c>
      <c r="L109" s="17"/>
      <c r="M109" s="18">
        <f>РПЗ!O109</f>
        <v>42826</v>
      </c>
      <c r="N109" s="289"/>
      <c r="O109" s="17"/>
      <c r="P109" s="17"/>
      <c r="Q109" s="17"/>
      <c r="R109" s="17"/>
      <c r="S109" s="17"/>
      <c r="T109" s="17"/>
      <c r="U109" s="18">
        <f>РПЗ!P109</f>
        <v>43009</v>
      </c>
      <c r="V109" s="17"/>
      <c r="W109" s="285">
        <f>РПЗ!L109</f>
        <v>442600</v>
      </c>
      <c r="X109" s="286"/>
      <c r="Y109" s="286"/>
      <c r="Z109" s="300"/>
      <c r="AA109" s="287"/>
      <c r="AB109" s="116"/>
      <c r="AC109" s="17"/>
      <c r="AD109" s="288"/>
      <c r="AE109" s="17"/>
      <c r="AF109" s="287"/>
      <c r="AG109" s="116"/>
      <c r="AH109" s="285" t="str">
        <f>IF(Таблица5[[#This Row],[30]]=0,"НД",Таблица5[[#This Row],[20]]-Таблица5[[#This Row],[30]])</f>
        <v>НД</v>
      </c>
      <c r="AI109" s="693" t="str">
        <f>IF(((1-Таблица5[[#This Row],[30]]/Таблица5[[#This Row],[20]])=1),"НД",(1-Таблица5[[#This Row],[30]]/Таблица5[[#This Row],[20]]))</f>
        <v>НД</v>
      </c>
      <c r="AJ109" s="116"/>
      <c r="AK109" s="116"/>
      <c r="AL109" s="694"/>
      <c r="AM109" s="51"/>
      <c r="AN109" s="288"/>
      <c r="AO109" s="377">
        <f>IF(Таблица5[[#This Row],[11]]=0,,MONTH(Таблица5[[#This Row],[11]]))</f>
        <v>0</v>
      </c>
    </row>
    <row r="110" spans="1:41" ht="80.099999999999994" customHeight="1" x14ac:dyDescent="0.25">
      <c r="A110" s="282" t="str">
        <f t="shared" si="1"/>
        <v>0645-00095</v>
      </c>
      <c r="B110" s="282" t="str">
        <f>РПЗ!$D110</f>
        <v xml:space="preserve"> 0645-00095. Поставка модулей вторичного электропитания</v>
      </c>
      <c r="C110" s="282" t="str">
        <f>РПЗ!$AA110</f>
        <v>Коммерческий отдел Дорохов Виктор Николаевич +7(812) 532-78-22</v>
      </c>
      <c r="D110" s="15" t="str">
        <f>РПЗ!$AB110</f>
        <v>Заказчик</v>
      </c>
      <c r="E110" s="692"/>
      <c r="F110" s="282" t="str">
        <f>РПЗ!Q110</f>
        <v>ЕП</v>
      </c>
      <c r="G110" s="287"/>
      <c r="H110" s="287" t="str">
        <f>РПЗ!R110</f>
        <v>Нет</v>
      </c>
      <c r="I110" s="15" t="str">
        <f>РПЗ!W110</f>
        <v>6.6.2(10)</v>
      </c>
      <c r="J110" s="282">
        <f>РПЗ!X110</f>
        <v>7710346180</v>
      </c>
      <c r="K110" s="336">
        <f>РПЗ!Z110</f>
        <v>3936700</v>
      </c>
      <c r="L110" s="17"/>
      <c r="M110" s="18">
        <f>РПЗ!O110</f>
        <v>42917</v>
      </c>
      <c r="N110" s="289"/>
      <c r="O110" s="17"/>
      <c r="P110" s="17"/>
      <c r="Q110" s="17"/>
      <c r="R110" s="17"/>
      <c r="S110" s="17"/>
      <c r="T110" s="17"/>
      <c r="U110" s="18">
        <f>РПЗ!P110</f>
        <v>43040</v>
      </c>
      <c r="V110" s="17"/>
      <c r="W110" s="285">
        <f>РПЗ!L110</f>
        <v>3936700</v>
      </c>
      <c r="X110" s="286"/>
      <c r="Y110" s="286"/>
      <c r="Z110" s="300"/>
      <c r="AA110" s="287"/>
      <c r="AB110" s="116"/>
      <c r="AC110" s="17"/>
      <c r="AD110" s="288"/>
      <c r="AE110" s="17"/>
      <c r="AF110" s="287"/>
      <c r="AG110" s="116"/>
      <c r="AH110" s="285" t="str">
        <f>IF(Таблица5[[#This Row],[30]]=0,"НД",Таблица5[[#This Row],[20]]-Таблица5[[#This Row],[30]])</f>
        <v>НД</v>
      </c>
      <c r="AI110" s="693" t="str">
        <f>IF(((1-Таблица5[[#This Row],[30]]/Таблица5[[#This Row],[20]])=1),"НД",(1-Таблица5[[#This Row],[30]]/Таблица5[[#This Row],[20]]))</f>
        <v>НД</v>
      </c>
      <c r="AJ110" s="116"/>
      <c r="AK110" s="116"/>
      <c r="AL110" s="694"/>
      <c r="AM110" s="51"/>
      <c r="AN110" s="288"/>
      <c r="AO110" s="377">
        <f>IF(Таблица5[[#This Row],[11]]=0,,MONTH(Таблица5[[#This Row],[11]]))</f>
        <v>0</v>
      </c>
    </row>
    <row r="111" spans="1:41" ht="80.099999999999994" customHeight="1" x14ac:dyDescent="0.25">
      <c r="A111" s="282" t="str">
        <f t="shared" si="1"/>
        <v>0645-00096</v>
      </c>
      <c r="B111" s="282" t="str">
        <f>РПЗ!$D111</f>
        <v xml:space="preserve"> 0645-00096. Поставка модулей вторичного электропитания</v>
      </c>
      <c r="C111" s="282" t="str">
        <f>РПЗ!$AA111</f>
        <v>Коммерческий отдел Дорохов Виктор Николаевич +7(812) 532-78-22</v>
      </c>
      <c r="D111" s="15" t="str">
        <f>РПЗ!$AB111</f>
        <v>Заказчик</v>
      </c>
      <c r="E111" s="692"/>
      <c r="F111" s="282" t="str">
        <f>РПЗ!Q111</f>
        <v>ЕП</v>
      </c>
      <c r="G111" s="287"/>
      <c r="H111" s="287" t="str">
        <f>РПЗ!R111</f>
        <v>Нет</v>
      </c>
      <c r="I111" s="15" t="str">
        <f>РПЗ!W111</f>
        <v>6.6.2(10)</v>
      </c>
      <c r="J111" s="282">
        <f>РПЗ!X111</f>
        <v>7710346180</v>
      </c>
      <c r="K111" s="336">
        <f>РПЗ!Z111</f>
        <v>2235000</v>
      </c>
      <c r="L111" s="17"/>
      <c r="M111" s="18">
        <f>РПЗ!O111</f>
        <v>42948</v>
      </c>
      <c r="N111" s="289"/>
      <c r="O111" s="17"/>
      <c r="P111" s="17"/>
      <c r="Q111" s="17"/>
      <c r="R111" s="17"/>
      <c r="S111" s="17"/>
      <c r="T111" s="17"/>
      <c r="U111" s="18">
        <f>РПЗ!P111</f>
        <v>43070</v>
      </c>
      <c r="V111" s="17"/>
      <c r="W111" s="285">
        <f>РПЗ!L111</f>
        <v>2235000</v>
      </c>
      <c r="X111" s="286"/>
      <c r="Y111" s="286"/>
      <c r="Z111" s="300"/>
      <c r="AA111" s="287"/>
      <c r="AB111" s="116"/>
      <c r="AC111" s="17"/>
      <c r="AD111" s="288"/>
      <c r="AE111" s="17"/>
      <c r="AF111" s="287"/>
      <c r="AG111" s="116"/>
      <c r="AH111" s="285" t="str">
        <f>IF(Таблица5[[#This Row],[30]]=0,"НД",Таблица5[[#This Row],[20]]-Таблица5[[#This Row],[30]])</f>
        <v>НД</v>
      </c>
      <c r="AI111" s="693" t="str">
        <f>IF(((1-Таблица5[[#This Row],[30]]/Таблица5[[#This Row],[20]])=1),"НД",(1-Таблица5[[#This Row],[30]]/Таблица5[[#This Row],[20]]))</f>
        <v>НД</v>
      </c>
      <c r="AJ111" s="116"/>
      <c r="AK111" s="116"/>
      <c r="AL111" s="694"/>
      <c r="AM111" s="51"/>
      <c r="AN111" s="288"/>
      <c r="AO111" s="377">
        <f>IF(Таблица5[[#This Row],[11]]=0,,MONTH(Таблица5[[#This Row],[11]]))</f>
        <v>0</v>
      </c>
    </row>
    <row r="112" spans="1:41" ht="80.099999999999994" customHeight="1" x14ac:dyDescent="0.25">
      <c r="A112" s="282" t="str">
        <f t="shared" si="1"/>
        <v>0645-00097</v>
      </c>
      <c r="B112" s="282" t="str">
        <f>РПЗ!$D112</f>
        <v xml:space="preserve"> 0645-00097. Поставка источников вторичного электропитания</v>
      </c>
      <c r="C112" s="282" t="str">
        <f>РПЗ!$AA112</f>
        <v>Коммерческий отдел Дорохов Виктор Николаевич +7(812) 532-78-22</v>
      </c>
      <c r="D112" s="15" t="str">
        <f>РПЗ!$AB112</f>
        <v>Заказчик</v>
      </c>
      <c r="E112" s="692"/>
      <c r="F112" s="282" t="str">
        <f>РПЗ!Q112</f>
        <v>ЕП</v>
      </c>
      <c r="G112" s="287"/>
      <c r="H112" s="287" t="str">
        <f>РПЗ!R112</f>
        <v>Нет</v>
      </c>
      <c r="I112" s="15" t="str">
        <f>РПЗ!W112</f>
        <v>6.6.2(10)</v>
      </c>
      <c r="J112" s="282">
        <f>РПЗ!X112</f>
        <v>5321095589</v>
      </c>
      <c r="K112" s="336">
        <f>РПЗ!Z112</f>
        <v>287950</v>
      </c>
      <c r="L112" s="17"/>
      <c r="M112" s="18">
        <f>РПЗ!O112</f>
        <v>42795</v>
      </c>
      <c r="N112" s="289"/>
      <c r="O112" s="17"/>
      <c r="P112" s="17"/>
      <c r="Q112" s="17"/>
      <c r="R112" s="17"/>
      <c r="S112" s="17"/>
      <c r="T112" s="17"/>
      <c r="U112" s="18">
        <f>РПЗ!P112</f>
        <v>42917</v>
      </c>
      <c r="V112" s="17"/>
      <c r="W112" s="285">
        <f>РПЗ!L112</f>
        <v>287950</v>
      </c>
      <c r="X112" s="286"/>
      <c r="Y112" s="286"/>
      <c r="Z112" s="300"/>
      <c r="AA112" s="287"/>
      <c r="AB112" s="116"/>
      <c r="AC112" s="17"/>
      <c r="AD112" s="288"/>
      <c r="AE112" s="17"/>
      <c r="AF112" s="287"/>
      <c r="AG112" s="116"/>
      <c r="AH112" s="285" t="str">
        <f>IF(Таблица5[[#This Row],[30]]=0,"НД",Таблица5[[#This Row],[20]]-Таблица5[[#This Row],[30]])</f>
        <v>НД</v>
      </c>
      <c r="AI112" s="693" t="str">
        <f>IF(((1-Таблица5[[#This Row],[30]]/Таблица5[[#This Row],[20]])=1),"НД",(1-Таблица5[[#This Row],[30]]/Таблица5[[#This Row],[20]]))</f>
        <v>НД</v>
      </c>
      <c r="AJ112" s="116"/>
      <c r="AK112" s="116"/>
      <c r="AL112" s="694"/>
      <c r="AM112" s="51"/>
      <c r="AN112" s="288"/>
      <c r="AO112" s="377">
        <f>IF(Таблица5[[#This Row],[11]]=0,,MONTH(Таблица5[[#This Row],[11]]))</f>
        <v>0</v>
      </c>
    </row>
    <row r="113" spans="1:41" ht="80.099999999999994" customHeight="1" x14ac:dyDescent="0.25">
      <c r="A113" s="282" t="str">
        <f t="shared" si="1"/>
        <v>0645-00098</v>
      </c>
      <c r="B113" s="282" t="str">
        <f>РПЗ!$D113</f>
        <v xml:space="preserve"> 0645-00098. Поставка источников вторичного электропитания</v>
      </c>
      <c r="C113" s="282" t="str">
        <f>РПЗ!$AA113</f>
        <v>Коммерческий отдел Дорохов Виктор Николаевич +7(812) 532-78-22</v>
      </c>
      <c r="D113" s="15" t="str">
        <f>РПЗ!$AB113</f>
        <v>Заказчик</v>
      </c>
      <c r="E113" s="692"/>
      <c r="F113" s="282" t="str">
        <f>РПЗ!Q113</f>
        <v>ЕП</v>
      </c>
      <c r="G113" s="287"/>
      <c r="H113" s="287" t="str">
        <f>РПЗ!R113</f>
        <v>Нет</v>
      </c>
      <c r="I113" s="15" t="str">
        <f>РПЗ!W113</f>
        <v>6.6.2(10)</v>
      </c>
      <c r="J113" s="282">
        <f>РПЗ!X113</f>
        <v>5321095589</v>
      </c>
      <c r="K113" s="336">
        <f>РПЗ!Z113</f>
        <v>767826</v>
      </c>
      <c r="L113" s="17"/>
      <c r="M113" s="18">
        <f>РПЗ!O113</f>
        <v>42856</v>
      </c>
      <c r="N113" s="289"/>
      <c r="O113" s="17"/>
      <c r="P113" s="17"/>
      <c r="Q113" s="17"/>
      <c r="R113" s="17"/>
      <c r="S113" s="17"/>
      <c r="T113" s="17"/>
      <c r="U113" s="18">
        <f>РПЗ!P113</f>
        <v>43040</v>
      </c>
      <c r="V113" s="17"/>
      <c r="W113" s="285">
        <f>РПЗ!L113</f>
        <v>767826</v>
      </c>
      <c r="X113" s="286"/>
      <c r="Y113" s="286"/>
      <c r="Z113" s="300"/>
      <c r="AA113" s="287"/>
      <c r="AB113" s="116"/>
      <c r="AC113" s="17"/>
      <c r="AD113" s="288"/>
      <c r="AE113" s="17"/>
      <c r="AF113" s="287"/>
      <c r="AG113" s="116"/>
      <c r="AH113" s="285" t="str">
        <f>IF(Таблица5[[#This Row],[30]]=0,"НД",Таблица5[[#This Row],[20]]-Таблица5[[#This Row],[30]])</f>
        <v>НД</v>
      </c>
      <c r="AI113" s="693" t="str">
        <f>IF(((1-Таблица5[[#This Row],[30]]/Таблица5[[#This Row],[20]])=1),"НД",(1-Таблица5[[#This Row],[30]]/Таблица5[[#This Row],[20]]))</f>
        <v>НД</v>
      </c>
      <c r="AJ113" s="116"/>
      <c r="AK113" s="116"/>
      <c r="AL113" s="694"/>
      <c r="AM113" s="51"/>
      <c r="AN113" s="288"/>
      <c r="AO113" s="377">
        <f>IF(Таблица5[[#This Row],[11]]=0,,MONTH(Таблица5[[#This Row],[11]]))</f>
        <v>0</v>
      </c>
    </row>
    <row r="114" spans="1:41" ht="80.099999999999994" customHeight="1" x14ac:dyDescent="0.25">
      <c r="A114" s="282" t="str">
        <f t="shared" si="1"/>
        <v>0645-00099</v>
      </c>
      <c r="B114" s="282" t="str">
        <f>РПЗ!$D114</f>
        <v xml:space="preserve">  0645-00099. Поставка соединителей</v>
      </c>
      <c r="C114" s="282" t="str">
        <f>РПЗ!$AA114</f>
        <v>Коммерческий отдел Дорохов Виктор Николаевич +7(812) 532-78-22</v>
      </c>
      <c r="D114" s="15" t="str">
        <f>РПЗ!$AB114</f>
        <v>Заказчик</v>
      </c>
      <c r="E114" s="692"/>
      <c r="F114" s="282" t="str">
        <f>РПЗ!Q114</f>
        <v>ЕП</v>
      </c>
      <c r="G114" s="287"/>
      <c r="H114" s="287" t="str">
        <f>РПЗ!R114</f>
        <v>Нет</v>
      </c>
      <c r="I114" s="15" t="str">
        <f>РПЗ!W114</f>
        <v>6.6.2(10)</v>
      </c>
      <c r="J114" s="282">
        <f>РПЗ!X114</f>
        <v>2607000333</v>
      </c>
      <c r="K114" s="336">
        <f>РПЗ!Z114</f>
        <v>219500</v>
      </c>
      <c r="L114" s="17"/>
      <c r="M114" s="18">
        <f>РПЗ!O114</f>
        <v>42826</v>
      </c>
      <c r="N114" s="289"/>
      <c r="O114" s="17"/>
      <c r="P114" s="17"/>
      <c r="Q114" s="17"/>
      <c r="R114" s="17"/>
      <c r="S114" s="17"/>
      <c r="T114" s="17"/>
      <c r="U114" s="18">
        <f>РПЗ!P114</f>
        <v>42887</v>
      </c>
      <c r="V114" s="17"/>
      <c r="W114" s="285">
        <f>РПЗ!L114</f>
        <v>219500</v>
      </c>
      <c r="X114" s="286"/>
      <c r="Y114" s="286"/>
      <c r="Z114" s="300"/>
      <c r="AA114" s="287"/>
      <c r="AB114" s="116"/>
      <c r="AC114" s="17"/>
      <c r="AD114" s="288"/>
      <c r="AE114" s="17"/>
      <c r="AF114" s="287"/>
      <c r="AG114" s="116"/>
      <c r="AH114" s="285" t="str">
        <f>IF(Таблица5[[#This Row],[30]]=0,"НД",Таблица5[[#This Row],[20]]-Таблица5[[#This Row],[30]])</f>
        <v>НД</v>
      </c>
      <c r="AI114" s="693" t="str">
        <f>IF(((1-Таблица5[[#This Row],[30]]/Таблица5[[#This Row],[20]])=1),"НД",(1-Таблица5[[#This Row],[30]]/Таблица5[[#This Row],[20]]))</f>
        <v>НД</v>
      </c>
      <c r="AJ114" s="116"/>
      <c r="AK114" s="116"/>
      <c r="AL114" s="694"/>
      <c r="AM114" s="51"/>
      <c r="AN114" s="288"/>
      <c r="AO114" s="377">
        <f>IF(Таблица5[[#This Row],[11]]=0,,MONTH(Таблица5[[#This Row],[11]]))</f>
        <v>0</v>
      </c>
    </row>
    <row r="115" spans="1:41" ht="80.099999999999994" customHeight="1" x14ac:dyDescent="0.25">
      <c r="A115" s="282" t="str">
        <f t="shared" si="1"/>
        <v>0645-00100</v>
      </c>
      <c r="B115" s="282" t="str">
        <f>РПЗ!$D115</f>
        <v xml:space="preserve"> 0645-00100.  Поставка кварцевых генераторов</v>
      </c>
      <c r="C115" s="282" t="str">
        <f>РПЗ!$AA115</f>
        <v>Коммерческий отдел Дорохов Виктор Николаевич +7(812) 532-78-22</v>
      </c>
      <c r="D115" s="15" t="str">
        <f>РПЗ!$AB115</f>
        <v>Заказчик</v>
      </c>
      <c r="E115" s="692"/>
      <c r="F115" s="282" t="str">
        <f>РПЗ!Q115</f>
        <v>ЕП</v>
      </c>
      <c r="G115" s="287"/>
      <c r="H115" s="287" t="str">
        <f>РПЗ!R115</f>
        <v>Нет</v>
      </c>
      <c r="I115" s="15" t="str">
        <f>РПЗ!W115</f>
        <v>6.6.2(10)</v>
      </c>
      <c r="J115" s="282">
        <f>РПЗ!X115</f>
        <v>7718016680</v>
      </c>
      <c r="K115" s="336">
        <f>РПЗ!Z115</f>
        <v>4228300</v>
      </c>
      <c r="L115" s="17"/>
      <c r="M115" s="18">
        <f>РПЗ!O115</f>
        <v>42826</v>
      </c>
      <c r="N115" s="289"/>
      <c r="O115" s="17"/>
      <c r="P115" s="17"/>
      <c r="Q115" s="17"/>
      <c r="R115" s="17"/>
      <c r="S115" s="17"/>
      <c r="T115" s="17"/>
      <c r="U115" s="18">
        <f>РПЗ!P115</f>
        <v>42917</v>
      </c>
      <c r="V115" s="17"/>
      <c r="W115" s="285">
        <f>РПЗ!L115</f>
        <v>4228300</v>
      </c>
      <c r="X115" s="286"/>
      <c r="Y115" s="286"/>
      <c r="Z115" s="300"/>
      <c r="AA115" s="287"/>
      <c r="AB115" s="116"/>
      <c r="AC115" s="17"/>
      <c r="AD115" s="288"/>
      <c r="AE115" s="17"/>
      <c r="AF115" s="287"/>
      <c r="AG115" s="116"/>
      <c r="AH115" s="285" t="str">
        <f>IF(Таблица5[[#This Row],[30]]=0,"НД",Таблица5[[#This Row],[20]]-Таблица5[[#This Row],[30]])</f>
        <v>НД</v>
      </c>
      <c r="AI115" s="693" t="str">
        <f>IF(((1-Таблица5[[#This Row],[30]]/Таблица5[[#This Row],[20]])=1),"НД",(1-Таблица5[[#This Row],[30]]/Таблица5[[#This Row],[20]]))</f>
        <v>НД</v>
      </c>
      <c r="AJ115" s="116"/>
      <c r="AK115" s="116"/>
      <c r="AL115" s="694"/>
      <c r="AM115" s="51"/>
      <c r="AN115" s="288"/>
      <c r="AO115" s="377">
        <f>IF(Таблица5[[#This Row],[11]]=0,,MONTH(Таблица5[[#This Row],[11]]))</f>
        <v>0</v>
      </c>
    </row>
    <row r="116" spans="1:41" ht="80.099999999999994" customHeight="1" x14ac:dyDescent="0.25">
      <c r="A116" s="282" t="str">
        <f t="shared" si="1"/>
        <v>0645-00101</v>
      </c>
      <c r="B116" s="282" t="str">
        <f>РПЗ!$D116</f>
        <v xml:space="preserve"> 0645-00101. Поставка кварцевых генераторов и резонаторов</v>
      </c>
      <c r="C116" s="282" t="str">
        <f>РПЗ!$AA116</f>
        <v>Коммерческий отдел Дорохов Виктор Николаевич +7(812) 532-78-22</v>
      </c>
      <c r="D116" s="15" t="str">
        <f>РПЗ!$AB116</f>
        <v>Заказчик</v>
      </c>
      <c r="E116" s="692"/>
      <c r="F116" s="282" t="str">
        <f>РПЗ!Q116</f>
        <v>ЕП</v>
      </c>
      <c r="G116" s="287"/>
      <c r="H116" s="287" t="str">
        <f>РПЗ!R116</f>
        <v>Нет</v>
      </c>
      <c r="I116" s="15" t="str">
        <f>РПЗ!W116</f>
        <v>6.6.2(10)</v>
      </c>
      <c r="J116" s="282">
        <f>РПЗ!X116</f>
        <v>7801016421</v>
      </c>
      <c r="K116" s="336">
        <f>РПЗ!Z116</f>
        <v>452093</v>
      </c>
      <c r="L116" s="17"/>
      <c r="M116" s="18">
        <f>РПЗ!O116</f>
        <v>42856</v>
      </c>
      <c r="N116" s="289"/>
      <c r="O116" s="17"/>
      <c r="P116" s="17"/>
      <c r="Q116" s="17"/>
      <c r="R116" s="17"/>
      <c r="S116" s="17"/>
      <c r="T116" s="17"/>
      <c r="U116" s="18">
        <f>РПЗ!P116</f>
        <v>43009</v>
      </c>
      <c r="V116" s="17"/>
      <c r="W116" s="285">
        <f>РПЗ!L116</f>
        <v>452093</v>
      </c>
      <c r="X116" s="286"/>
      <c r="Y116" s="286"/>
      <c r="Z116" s="300"/>
      <c r="AA116" s="287"/>
      <c r="AB116" s="116"/>
      <c r="AC116" s="17"/>
      <c r="AD116" s="288"/>
      <c r="AE116" s="17"/>
      <c r="AF116" s="287"/>
      <c r="AG116" s="116"/>
      <c r="AH116" s="285" t="str">
        <f>IF(Таблица5[[#This Row],[30]]=0,"НД",Таблица5[[#This Row],[20]]-Таблица5[[#This Row],[30]])</f>
        <v>НД</v>
      </c>
      <c r="AI116" s="693" t="str">
        <f>IF(((1-Таблица5[[#This Row],[30]]/Таблица5[[#This Row],[20]])=1),"НД",(1-Таблица5[[#This Row],[30]]/Таблица5[[#This Row],[20]]))</f>
        <v>НД</v>
      </c>
      <c r="AJ116" s="116"/>
      <c r="AK116" s="116"/>
      <c r="AL116" s="694"/>
      <c r="AM116" s="51"/>
      <c r="AN116" s="288"/>
      <c r="AO116" s="377">
        <f>IF(Таблица5[[#This Row],[11]]=0,,MONTH(Таблица5[[#This Row],[11]]))</f>
        <v>0</v>
      </c>
    </row>
    <row r="117" spans="1:41" ht="80.099999999999994" customHeight="1" x14ac:dyDescent="0.25">
      <c r="A117" s="282" t="str">
        <f t="shared" si="1"/>
        <v>0645-00102</v>
      </c>
      <c r="B117" s="282" t="str">
        <f>РПЗ!$D117</f>
        <v xml:space="preserve">  0645-00102. Поставка соединителей</v>
      </c>
      <c r="C117" s="282" t="str">
        <f>РПЗ!$AA117</f>
        <v>Коммерческий отдел Дорохов Виктор Николаевич +7(812) 532-78-22</v>
      </c>
      <c r="D117" s="15" t="str">
        <f>РПЗ!$AB117</f>
        <v>Заказчик</v>
      </c>
      <c r="E117" s="692"/>
      <c r="F117" s="282" t="str">
        <f>РПЗ!Q117</f>
        <v>ЕП</v>
      </c>
      <c r="G117" s="287"/>
      <c r="H117" s="287" t="str">
        <f>РПЗ!R117</f>
        <v>Нет</v>
      </c>
      <c r="I117" s="15" t="str">
        <f>РПЗ!W117</f>
        <v>6.6.2(10)</v>
      </c>
      <c r="J117" s="282">
        <f>РПЗ!X117</f>
        <v>6666003380</v>
      </c>
      <c r="K117" s="336">
        <f>РПЗ!Z117</f>
        <v>2169700</v>
      </c>
      <c r="L117" s="17"/>
      <c r="M117" s="18">
        <f>РПЗ!O117</f>
        <v>42826</v>
      </c>
      <c r="N117" s="289"/>
      <c r="O117" s="17"/>
      <c r="P117" s="17"/>
      <c r="Q117" s="17"/>
      <c r="R117" s="17"/>
      <c r="S117" s="17"/>
      <c r="T117" s="17"/>
      <c r="U117" s="18">
        <f>РПЗ!P117</f>
        <v>42948</v>
      </c>
      <c r="V117" s="17"/>
      <c r="W117" s="285">
        <f>РПЗ!L117</f>
        <v>2169700</v>
      </c>
      <c r="X117" s="286"/>
      <c r="Y117" s="286"/>
      <c r="Z117" s="300"/>
      <c r="AA117" s="287"/>
      <c r="AB117" s="116"/>
      <c r="AC117" s="17"/>
      <c r="AD117" s="288"/>
      <c r="AE117" s="17"/>
      <c r="AF117" s="287"/>
      <c r="AG117" s="116"/>
      <c r="AH117" s="285" t="str">
        <f>IF(Таблица5[[#This Row],[30]]=0,"НД",Таблица5[[#This Row],[20]]-Таблица5[[#This Row],[30]])</f>
        <v>НД</v>
      </c>
      <c r="AI117" s="693" t="str">
        <f>IF(((1-Таблица5[[#This Row],[30]]/Таблица5[[#This Row],[20]])=1),"НД",(1-Таблица5[[#This Row],[30]]/Таблица5[[#This Row],[20]]))</f>
        <v>НД</v>
      </c>
      <c r="AJ117" s="116"/>
      <c r="AK117" s="116"/>
      <c r="AL117" s="694"/>
      <c r="AM117" s="51"/>
      <c r="AN117" s="288"/>
      <c r="AO117" s="377">
        <f>IF(Таблица5[[#This Row],[11]]=0,,MONTH(Таблица5[[#This Row],[11]]))</f>
        <v>0</v>
      </c>
    </row>
    <row r="118" spans="1:41" ht="80.099999999999994" customHeight="1" x14ac:dyDescent="0.25">
      <c r="A118" s="282" t="str">
        <f t="shared" si="1"/>
        <v>0645-00103</v>
      </c>
      <c r="B118" s="282" t="str">
        <f>РПЗ!$D118</f>
        <v xml:space="preserve">  0645-00103. Поставка соединителей</v>
      </c>
      <c r="C118" s="282" t="str">
        <f>РПЗ!$AA118</f>
        <v>Коммерческий отдел Дорохов Виктор Николаевич +7(812) 532-78-22</v>
      </c>
      <c r="D118" s="15" t="str">
        <f>РПЗ!$AB118</f>
        <v>Заказчик</v>
      </c>
      <c r="E118" s="692"/>
      <c r="F118" s="282" t="str">
        <f>РПЗ!Q118</f>
        <v>ЕП</v>
      </c>
      <c r="G118" s="287"/>
      <c r="H118" s="287" t="str">
        <f>РПЗ!R118</f>
        <v>Нет</v>
      </c>
      <c r="I118" s="15" t="str">
        <f>РПЗ!W118</f>
        <v>6.6.2(10)</v>
      </c>
      <c r="J118" s="282">
        <f>РПЗ!X118</f>
        <v>6666003380</v>
      </c>
      <c r="K118" s="336">
        <f>РПЗ!Z118</f>
        <v>1242509</v>
      </c>
      <c r="L118" s="17"/>
      <c r="M118" s="18">
        <f>РПЗ!O118</f>
        <v>42887</v>
      </c>
      <c r="N118" s="289"/>
      <c r="O118" s="17"/>
      <c r="P118" s="17"/>
      <c r="Q118" s="17"/>
      <c r="R118" s="17"/>
      <c r="S118" s="17"/>
      <c r="T118" s="17"/>
      <c r="U118" s="18">
        <f>РПЗ!P118</f>
        <v>43009</v>
      </c>
      <c r="V118" s="17"/>
      <c r="W118" s="285">
        <f>РПЗ!L118</f>
        <v>1242509</v>
      </c>
      <c r="X118" s="286"/>
      <c r="Y118" s="286"/>
      <c r="Z118" s="300"/>
      <c r="AA118" s="287"/>
      <c r="AB118" s="116"/>
      <c r="AC118" s="17"/>
      <c r="AD118" s="288"/>
      <c r="AE118" s="17"/>
      <c r="AF118" s="287"/>
      <c r="AG118" s="116"/>
      <c r="AH118" s="285" t="str">
        <f>IF(Таблица5[[#This Row],[30]]=0,"НД",Таблица5[[#This Row],[20]]-Таблица5[[#This Row],[30]])</f>
        <v>НД</v>
      </c>
      <c r="AI118" s="693" t="str">
        <f>IF(((1-Таблица5[[#This Row],[30]]/Таблица5[[#This Row],[20]])=1),"НД",(1-Таблица5[[#This Row],[30]]/Таблица5[[#This Row],[20]]))</f>
        <v>НД</v>
      </c>
      <c r="AJ118" s="116"/>
      <c r="AK118" s="116"/>
      <c r="AL118" s="694"/>
      <c r="AM118" s="51"/>
      <c r="AN118" s="288"/>
      <c r="AO118" s="377">
        <f>IF(Таблица5[[#This Row],[11]]=0,,MONTH(Таблица5[[#This Row],[11]]))</f>
        <v>0</v>
      </c>
    </row>
    <row r="119" spans="1:41" ht="80.099999999999994" customHeight="1" x14ac:dyDescent="0.25">
      <c r="A119" s="282" t="str">
        <f t="shared" si="1"/>
        <v>0645-00104</v>
      </c>
      <c r="B119" s="282" t="str">
        <f>РПЗ!$D119</f>
        <v xml:space="preserve">  0645-00104. Поставка реле</v>
      </c>
      <c r="C119" s="282" t="str">
        <f>РПЗ!$AA119</f>
        <v>Коммерческий отдел Дорохов Виктор Николаевич +7(812) 532-78-22</v>
      </c>
      <c r="D119" s="15" t="str">
        <f>РПЗ!$AB119</f>
        <v>Заказчик</v>
      </c>
      <c r="E119" s="692"/>
      <c r="F119" s="282" t="str">
        <f>РПЗ!Q119</f>
        <v>ЕП</v>
      </c>
      <c r="G119" s="287"/>
      <c r="H119" s="287" t="str">
        <f>РПЗ!R119</f>
        <v>Нет</v>
      </c>
      <c r="I119" s="15" t="str">
        <f>РПЗ!W119</f>
        <v>6.6.2(10)</v>
      </c>
      <c r="J119" s="282">
        <f>РПЗ!X119</f>
        <v>7802064795</v>
      </c>
      <c r="K119" s="336">
        <f>РПЗ!Z119</f>
        <v>1208567.67</v>
      </c>
      <c r="L119" s="17"/>
      <c r="M119" s="18">
        <f>РПЗ!O119</f>
        <v>42826</v>
      </c>
      <c r="N119" s="289"/>
      <c r="O119" s="17"/>
      <c r="P119" s="17"/>
      <c r="Q119" s="17"/>
      <c r="R119" s="17"/>
      <c r="S119" s="17"/>
      <c r="T119" s="17"/>
      <c r="U119" s="18">
        <f>РПЗ!P119</f>
        <v>42948</v>
      </c>
      <c r="V119" s="17"/>
      <c r="W119" s="285">
        <f>РПЗ!L119</f>
        <v>1208567.67</v>
      </c>
      <c r="X119" s="286"/>
      <c r="Y119" s="286"/>
      <c r="Z119" s="300"/>
      <c r="AA119" s="287"/>
      <c r="AB119" s="116"/>
      <c r="AC119" s="17"/>
      <c r="AD119" s="288"/>
      <c r="AE119" s="17"/>
      <c r="AF119" s="287"/>
      <c r="AG119" s="116"/>
      <c r="AH119" s="285" t="str">
        <f>IF(Таблица5[[#This Row],[30]]=0,"НД",Таблица5[[#This Row],[20]]-Таблица5[[#This Row],[30]])</f>
        <v>НД</v>
      </c>
      <c r="AI119" s="693" t="str">
        <f>IF(((1-Таблица5[[#This Row],[30]]/Таблица5[[#This Row],[20]])=1),"НД",(1-Таблица5[[#This Row],[30]]/Таблица5[[#This Row],[20]]))</f>
        <v>НД</v>
      </c>
      <c r="AJ119" s="116"/>
      <c r="AK119" s="116"/>
      <c r="AL119" s="694"/>
      <c r="AM119" s="51"/>
      <c r="AN119" s="288"/>
      <c r="AO119" s="377">
        <f>IF(Таблица5[[#This Row],[11]]=0,,MONTH(Таблица5[[#This Row],[11]]))</f>
        <v>0</v>
      </c>
    </row>
    <row r="120" spans="1:41" ht="80.099999999999994" customHeight="1" x14ac:dyDescent="0.25">
      <c r="A120" s="282" t="str">
        <f t="shared" si="1"/>
        <v>0645-00105</v>
      </c>
      <c r="B120" s="282" t="str">
        <f>РПЗ!$D120</f>
        <v xml:space="preserve">  0645-00105. Поставка реле</v>
      </c>
      <c r="C120" s="282" t="str">
        <f>РПЗ!$AA120</f>
        <v>Коммерческий отдел Дорохов Виктор Николаевич +7(812) 532-78-22</v>
      </c>
      <c r="D120" s="15" t="str">
        <f>РПЗ!$AB120</f>
        <v>Заказчик</v>
      </c>
      <c r="E120" s="692"/>
      <c r="F120" s="282" t="str">
        <f>РПЗ!Q120</f>
        <v>ЕП</v>
      </c>
      <c r="G120" s="287"/>
      <c r="H120" s="287" t="str">
        <f>РПЗ!R120</f>
        <v>Нет</v>
      </c>
      <c r="I120" s="15" t="str">
        <f>РПЗ!W120</f>
        <v>6.6.2(10)</v>
      </c>
      <c r="J120" s="282">
        <f>РПЗ!X120</f>
        <v>7802064795</v>
      </c>
      <c r="K120" s="336">
        <f>РПЗ!Z120</f>
        <v>1316000</v>
      </c>
      <c r="L120" s="17"/>
      <c r="M120" s="18">
        <f>РПЗ!O120</f>
        <v>42887</v>
      </c>
      <c r="N120" s="289"/>
      <c r="O120" s="17"/>
      <c r="P120" s="17"/>
      <c r="Q120" s="17"/>
      <c r="R120" s="17"/>
      <c r="S120" s="17"/>
      <c r="T120" s="17"/>
      <c r="U120" s="18">
        <f>РПЗ!P120</f>
        <v>43009</v>
      </c>
      <c r="V120" s="17"/>
      <c r="W120" s="285">
        <f>РПЗ!L120</f>
        <v>1316000</v>
      </c>
      <c r="X120" s="286"/>
      <c r="Y120" s="286"/>
      <c r="Z120" s="300"/>
      <c r="AA120" s="287"/>
      <c r="AB120" s="116"/>
      <c r="AC120" s="17"/>
      <c r="AD120" s="288"/>
      <c r="AE120" s="17"/>
      <c r="AF120" s="287"/>
      <c r="AG120" s="116"/>
      <c r="AH120" s="285" t="str">
        <f>IF(Таблица5[[#This Row],[30]]=0,"НД",Таблица5[[#This Row],[20]]-Таблица5[[#This Row],[30]])</f>
        <v>НД</v>
      </c>
      <c r="AI120" s="693" t="str">
        <f>IF(((1-Таблица5[[#This Row],[30]]/Таблица5[[#This Row],[20]])=1),"НД",(1-Таблица5[[#This Row],[30]]/Таблица5[[#This Row],[20]]))</f>
        <v>НД</v>
      </c>
      <c r="AJ120" s="116"/>
      <c r="AK120" s="116"/>
      <c r="AL120" s="694"/>
      <c r="AM120" s="51"/>
      <c r="AN120" s="288"/>
      <c r="AO120" s="377">
        <f>IF(Таблица5[[#This Row],[11]]=0,,MONTH(Таблица5[[#This Row],[11]]))</f>
        <v>0</v>
      </c>
    </row>
    <row r="121" spans="1:41" ht="80.099999999999994" customHeight="1" x14ac:dyDescent="0.25">
      <c r="A121" s="282" t="str">
        <f t="shared" si="1"/>
        <v>0645-00106</v>
      </c>
      <c r="B121" s="282" t="str">
        <f>РПЗ!$D121</f>
        <v xml:space="preserve">  0645-00106. Поставка трансформаторов низкочастотных</v>
      </c>
      <c r="C121" s="282" t="str">
        <f>РПЗ!$AA121</f>
        <v>Коммерческий отдел Дорохов Виктор Николаевич +7(812) 532-78-22</v>
      </c>
      <c r="D121" s="15" t="str">
        <f>РПЗ!$AB121</f>
        <v>Заказчик</v>
      </c>
      <c r="E121" s="692"/>
      <c r="F121" s="282" t="str">
        <f>РПЗ!Q121</f>
        <v>ЕП</v>
      </c>
      <c r="G121" s="287"/>
      <c r="H121" s="287" t="str">
        <f>РПЗ!R121</f>
        <v>Нет</v>
      </c>
      <c r="I121" s="15" t="str">
        <f>РПЗ!W121</f>
        <v>6.6.2(10)</v>
      </c>
      <c r="J121" s="282" t="str">
        <f>РПЗ!X121</f>
        <v>0814039092</v>
      </c>
      <c r="K121" s="336">
        <f>РПЗ!Z121</f>
        <v>675000</v>
      </c>
      <c r="L121" s="17"/>
      <c r="M121" s="18">
        <f>РПЗ!O121</f>
        <v>42887</v>
      </c>
      <c r="N121" s="289"/>
      <c r="O121" s="17"/>
      <c r="P121" s="17"/>
      <c r="Q121" s="17"/>
      <c r="R121" s="17"/>
      <c r="S121" s="17"/>
      <c r="T121" s="17"/>
      <c r="U121" s="18">
        <f>РПЗ!P121</f>
        <v>42979</v>
      </c>
      <c r="V121" s="17"/>
      <c r="W121" s="285">
        <f>РПЗ!L121</f>
        <v>675000</v>
      </c>
      <c r="X121" s="286"/>
      <c r="Y121" s="286"/>
      <c r="Z121" s="300"/>
      <c r="AA121" s="287"/>
      <c r="AB121" s="116"/>
      <c r="AC121" s="17"/>
      <c r="AD121" s="288"/>
      <c r="AE121" s="17"/>
      <c r="AF121" s="287"/>
      <c r="AG121" s="116"/>
      <c r="AH121" s="285" t="str">
        <f>IF(Таблица5[[#This Row],[30]]=0,"НД",Таблица5[[#This Row],[20]]-Таблица5[[#This Row],[30]])</f>
        <v>НД</v>
      </c>
      <c r="AI121" s="693" t="str">
        <f>IF(((1-Таблица5[[#This Row],[30]]/Таблица5[[#This Row],[20]])=1),"НД",(1-Таблица5[[#This Row],[30]]/Таблица5[[#This Row],[20]]))</f>
        <v>НД</v>
      </c>
      <c r="AJ121" s="116"/>
      <c r="AK121" s="116"/>
      <c r="AL121" s="694"/>
      <c r="AM121" s="51"/>
      <c r="AN121" s="288"/>
      <c r="AO121" s="377">
        <f>IF(Таблица5[[#This Row],[11]]=0,,MONTH(Таблица5[[#This Row],[11]]))</f>
        <v>0</v>
      </c>
    </row>
    <row r="122" spans="1:41" ht="80.099999999999994" customHeight="1" x14ac:dyDescent="0.25">
      <c r="A122" s="282" t="str">
        <f t="shared" si="1"/>
        <v>0645-00107</v>
      </c>
      <c r="B122" s="282" t="str">
        <f>РПЗ!$D122</f>
        <v xml:space="preserve">  0645-00107. Поставка трансформаторов импульсных</v>
      </c>
      <c r="C122" s="282" t="str">
        <f>РПЗ!$AA122</f>
        <v>Коммерческий отдел Дорохов Виктор Николаевич +7(812) 532-78-22</v>
      </c>
      <c r="D122" s="15" t="str">
        <f>РПЗ!$AB122</f>
        <v>Заказчик</v>
      </c>
      <c r="E122" s="692"/>
      <c r="F122" s="282" t="str">
        <f>РПЗ!Q122</f>
        <v>ЕП</v>
      </c>
      <c r="G122" s="287"/>
      <c r="H122" s="287" t="str">
        <f>РПЗ!R122</f>
        <v>Нет</v>
      </c>
      <c r="I122" s="15" t="str">
        <f>РПЗ!W122</f>
        <v>6.6.2(10)</v>
      </c>
      <c r="J122" s="282" t="str">
        <f>РПЗ!X122</f>
        <v>5320002221</v>
      </c>
      <c r="K122" s="336">
        <f>РПЗ!Z122</f>
        <v>446344</v>
      </c>
      <c r="L122" s="17"/>
      <c r="M122" s="18">
        <f>РПЗ!O122</f>
        <v>42826</v>
      </c>
      <c r="N122" s="289"/>
      <c r="O122" s="17"/>
      <c r="P122" s="17"/>
      <c r="Q122" s="17"/>
      <c r="R122" s="17"/>
      <c r="S122" s="17"/>
      <c r="T122" s="17"/>
      <c r="U122" s="18">
        <f>РПЗ!P122</f>
        <v>42948</v>
      </c>
      <c r="V122" s="17"/>
      <c r="W122" s="285">
        <f>РПЗ!L122</f>
        <v>446344</v>
      </c>
      <c r="X122" s="286"/>
      <c r="Y122" s="286"/>
      <c r="Z122" s="300"/>
      <c r="AA122" s="287"/>
      <c r="AB122" s="116"/>
      <c r="AC122" s="17"/>
      <c r="AD122" s="288"/>
      <c r="AE122" s="17"/>
      <c r="AF122" s="287"/>
      <c r="AG122" s="116"/>
      <c r="AH122" s="285" t="str">
        <f>IF(Таблица5[[#This Row],[30]]=0,"НД",Таблица5[[#This Row],[20]]-Таблица5[[#This Row],[30]])</f>
        <v>НД</v>
      </c>
      <c r="AI122" s="693" t="str">
        <f>IF(((1-Таблица5[[#This Row],[30]]/Таблица5[[#This Row],[20]])=1),"НД",(1-Таблица5[[#This Row],[30]]/Таблица5[[#This Row],[20]]))</f>
        <v>НД</v>
      </c>
      <c r="AJ122" s="116"/>
      <c r="AK122" s="116"/>
      <c r="AL122" s="694"/>
      <c r="AM122" s="51"/>
      <c r="AN122" s="288"/>
      <c r="AO122" s="377">
        <f>IF(Таблица5[[#This Row],[11]]=0,,MONTH(Таблица5[[#This Row],[11]]))</f>
        <v>0</v>
      </c>
    </row>
    <row r="123" spans="1:41" ht="80.099999999999994" customHeight="1" x14ac:dyDescent="0.25">
      <c r="A123" s="282" t="str">
        <f t="shared" si="1"/>
        <v>0645-00108</v>
      </c>
      <c r="B123" s="282" t="str">
        <f>РПЗ!$D123</f>
        <v xml:space="preserve">  0645-00108. Поставка трансформаторов импульсных</v>
      </c>
      <c r="C123" s="282" t="str">
        <f>РПЗ!$AA123</f>
        <v>Коммерческий отдел Дорохов Виктор Николаевич +7(812) 532-78-22</v>
      </c>
      <c r="D123" s="15" t="str">
        <f>РПЗ!$AB123</f>
        <v>Заказчик</v>
      </c>
      <c r="E123" s="692"/>
      <c r="F123" s="282" t="str">
        <f>РПЗ!Q123</f>
        <v>ЕП</v>
      </c>
      <c r="G123" s="287"/>
      <c r="H123" s="287" t="str">
        <f>РПЗ!R123</f>
        <v>Нет</v>
      </c>
      <c r="I123" s="15" t="str">
        <f>РПЗ!W123</f>
        <v>6.6.2(10)</v>
      </c>
      <c r="J123" s="282" t="str">
        <f>РПЗ!X123</f>
        <v>5320002221</v>
      </c>
      <c r="K123" s="336">
        <f>РПЗ!Z123</f>
        <v>1104000</v>
      </c>
      <c r="L123" s="17"/>
      <c r="M123" s="18">
        <f>РПЗ!O123</f>
        <v>42887</v>
      </c>
      <c r="N123" s="289"/>
      <c r="O123" s="17"/>
      <c r="P123" s="17"/>
      <c r="Q123" s="17"/>
      <c r="R123" s="17"/>
      <c r="S123" s="17"/>
      <c r="T123" s="17"/>
      <c r="U123" s="18">
        <f>РПЗ!P123</f>
        <v>43009</v>
      </c>
      <c r="V123" s="17"/>
      <c r="W123" s="285">
        <f>РПЗ!L123</f>
        <v>1104000</v>
      </c>
      <c r="X123" s="286"/>
      <c r="Y123" s="286"/>
      <c r="Z123" s="300"/>
      <c r="AA123" s="287"/>
      <c r="AB123" s="116"/>
      <c r="AC123" s="17"/>
      <c r="AD123" s="288"/>
      <c r="AE123" s="17"/>
      <c r="AF123" s="287"/>
      <c r="AG123" s="116"/>
      <c r="AH123" s="285" t="str">
        <f>IF(Таблица5[[#This Row],[30]]=0,"НД",Таблица5[[#This Row],[20]]-Таблица5[[#This Row],[30]])</f>
        <v>НД</v>
      </c>
      <c r="AI123" s="693" t="str">
        <f>IF(((1-Таблица5[[#This Row],[30]]/Таблица5[[#This Row],[20]])=1),"НД",(1-Таблица5[[#This Row],[30]]/Таблица5[[#This Row],[20]]))</f>
        <v>НД</v>
      </c>
      <c r="AJ123" s="116"/>
      <c r="AK123" s="116"/>
      <c r="AL123" s="694"/>
      <c r="AM123" s="51"/>
      <c r="AN123" s="288"/>
      <c r="AO123" s="377">
        <f>IF(Таблица5[[#This Row],[11]]=0,,MONTH(Таблица5[[#This Row],[11]]))</f>
        <v>0</v>
      </c>
    </row>
    <row r="124" spans="1:41" ht="80.099999999999994" customHeight="1" x14ac:dyDescent="0.25">
      <c r="A124" s="282" t="str">
        <f t="shared" si="1"/>
        <v>0645-00109</v>
      </c>
      <c r="B124" s="282" t="str">
        <f>РПЗ!$D124</f>
        <v xml:space="preserve">  0645-00109. Поставка соединителей</v>
      </c>
      <c r="C124" s="282" t="str">
        <f>РПЗ!$AA124</f>
        <v>Коммерческий отдел Дорохов Виктор Николаевич +7(812) 532-78-22</v>
      </c>
      <c r="D124" s="15" t="str">
        <f>РПЗ!$AB124</f>
        <v>Заказчик</v>
      </c>
      <c r="E124" s="692"/>
      <c r="F124" s="282" t="str">
        <f>РПЗ!Q124</f>
        <v>ЕП</v>
      </c>
      <c r="G124" s="287"/>
      <c r="H124" s="287" t="str">
        <f>РПЗ!R124</f>
        <v>Нет</v>
      </c>
      <c r="I124" s="15" t="str">
        <f>РПЗ!W124</f>
        <v>6.6.2(10)</v>
      </c>
      <c r="J124" s="282">
        <f>РПЗ!X124</f>
        <v>3254511340</v>
      </c>
      <c r="K124" s="336">
        <f>РПЗ!Z124</f>
        <v>514000</v>
      </c>
      <c r="L124" s="17"/>
      <c r="M124" s="18">
        <f>РПЗ!O124</f>
        <v>42767</v>
      </c>
      <c r="N124" s="289"/>
      <c r="O124" s="17"/>
      <c r="P124" s="17"/>
      <c r="Q124" s="17"/>
      <c r="R124" s="17"/>
      <c r="S124" s="17"/>
      <c r="T124" s="17"/>
      <c r="U124" s="18">
        <f>РПЗ!P124</f>
        <v>42826</v>
      </c>
      <c r="V124" s="17"/>
      <c r="W124" s="285">
        <f>РПЗ!L124</f>
        <v>514000</v>
      </c>
      <c r="X124" s="286"/>
      <c r="Y124" s="286"/>
      <c r="Z124" s="300"/>
      <c r="AA124" s="287"/>
      <c r="AB124" s="116"/>
      <c r="AC124" s="17"/>
      <c r="AD124" s="288"/>
      <c r="AE124" s="17"/>
      <c r="AF124" s="287"/>
      <c r="AG124" s="116"/>
      <c r="AH124" s="285" t="str">
        <f>IF(Таблица5[[#This Row],[30]]=0,"НД",Таблица5[[#This Row],[20]]-Таблица5[[#This Row],[30]])</f>
        <v>НД</v>
      </c>
      <c r="AI124" s="693" t="str">
        <f>IF(((1-Таблица5[[#This Row],[30]]/Таблица5[[#This Row],[20]])=1),"НД",(1-Таблица5[[#This Row],[30]]/Таблица5[[#This Row],[20]]))</f>
        <v>НД</v>
      </c>
      <c r="AJ124" s="116"/>
      <c r="AK124" s="116"/>
      <c r="AL124" s="694"/>
      <c r="AM124" s="51"/>
      <c r="AN124" s="288"/>
      <c r="AO124" s="377">
        <f>IF(Таблица5[[#This Row],[11]]=0,,MONTH(Таблица5[[#This Row],[11]]))</f>
        <v>0</v>
      </c>
    </row>
    <row r="125" spans="1:41" ht="80.099999999999994" customHeight="1" x14ac:dyDescent="0.25">
      <c r="A125" s="282" t="str">
        <f t="shared" si="1"/>
        <v>0645-00110</v>
      </c>
      <c r="B125" s="282" t="str">
        <f>РПЗ!$D125</f>
        <v xml:space="preserve">  0645-00110. Поставка соединителей</v>
      </c>
      <c r="C125" s="282" t="str">
        <f>РПЗ!$AA125</f>
        <v>Коммерческий отдел Дорохов Виктор Николаевич +7(812) 532-78-22</v>
      </c>
      <c r="D125" s="15" t="str">
        <f>РПЗ!$AB125</f>
        <v>Заказчик</v>
      </c>
      <c r="E125" s="692"/>
      <c r="F125" s="282" t="str">
        <f>РПЗ!Q125</f>
        <v>ЕП</v>
      </c>
      <c r="G125" s="287"/>
      <c r="H125" s="287" t="str">
        <f>РПЗ!R125</f>
        <v>Нет</v>
      </c>
      <c r="I125" s="15" t="str">
        <f>РПЗ!W125</f>
        <v>6.6.2(10)</v>
      </c>
      <c r="J125" s="282">
        <f>РПЗ!X125</f>
        <v>3254511340</v>
      </c>
      <c r="K125" s="336">
        <f>РПЗ!Z125</f>
        <v>1244000</v>
      </c>
      <c r="L125" s="17"/>
      <c r="M125" s="18">
        <f>РПЗ!O125</f>
        <v>42826</v>
      </c>
      <c r="N125" s="289"/>
      <c r="O125" s="17"/>
      <c r="P125" s="17"/>
      <c r="Q125" s="17"/>
      <c r="R125" s="17"/>
      <c r="S125" s="17"/>
      <c r="T125" s="17"/>
      <c r="U125" s="18">
        <f>РПЗ!P125</f>
        <v>42887</v>
      </c>
      <c r="V125" s="17"/>
      <c r="W125" s="285">
        <f>РПЗ!L125</f>
        <v>1244000</v>
      </c>
      <c r="X125" s="286"/>
      <c r="Y125" s="286"/>
      <c r="Z125" s="300"/>
      <c r="AA125" s="287"/>
      <c r="AB125" s="116"/>
      <c r="AC125" s="17"/>
      <c r="AD125" s="288"/>
      <c r="AE125" s="17"/>
      <c r="AF125" s="287"/>
      <c r="AG125" s="116"/>
      <c r="AH125" s="285" t="str">
        <f>IF(Таблица5[[#This Row],[30]]=0,"НД",Таблица5[[#This Row],[20]]-Таблица5[[#This Row],[30]])</f>
        <v>НД</v>
      </c>
      <c r="AI125" s="693" t="str">
        <f>IF(((1-Таблица5[[#This Row],[30]]/Таблица5[[#This Row],[20]])=1),"НД",(1-Таблица5[[#This Row],[30]]/Таблица5[[#This Row],[20]]))</f>
        <v>НД</v>
      </c>
      <c r="AJ125" s="116"/>
      <c r="AK125" s="116"/>
      <c r="AL125" s="694"/>
      <c r="AM125" s="51"/>
      <c r="AN125" s="288"/>
      <c r="AO125" s="377">
        <f>IF(Таблица5[[#This Row],[11]]=0,,MONTH(Таблица5[[#This Row],[11]]))</f>
        <v>0</v>
      </c>
    </row>
    <row r="126" spans="1:41" ht="80.099999999999994" customHeight="1" x14ac:dyDescent="0.25">
      <c r="A126" s="282" t="str">
        <f t="shared" si="1"/>
        <v>0645-00111</v>
      </c>
      <c r="B126" s="282" t="str">
        <f>РПЗ!$D126</f>
        <v xml:space="preserve">  0645-00111. Поставка соединителей</v>
      </c>
      <c r="C126" s="282" t="str">
        <f>РПЗ!$AA126</f>
        <v>Коммерческий отдел Дорохов Виктор Николаевич +7(812) 532-78-22</v>
      </c>
      <c r="D126" s="15" t="str">
        <f>РПЗ!$AB126</f>
        <v>Заказчик</v>
      </c>
      <c r="E126" s="692"/>
      <c r="F126" s="282" t="str">
        <f>РПЗ!Q126</f>
        <v>ЕП</v>
      </c>
      <c r="G126" s="287"/>
      <c r="H126" s="287" t="str">
        <f>РПЗ!R126</f>
        <v>Нет</v>
      </c>
      <c r="I126" s="15" t="str">
        <f>РПЗ!W126</f>
        <v>6.6.2(10)</v>
      </c>
      <c r="J126" s="282">
        <f>РПЗ!X126</f>
        <v>3254511340</v>
      </c>
      <c r="K126" s="336">
        <f>РПЗ!Z126</f>
        <v>2123000</v>
      </c>
      <c r="L126" s="17"/>
      <c r="M126" s="18">
        <f>РПЗ!O126</f>
        <v>42917</v>
      </c>
      <c r="N126" s="289"/>
      <c r="O126" s="17"/>
      <c r="P126" s="17"/>
      <c r="Q126" s="17"/>
      <c r="R126" s="17"/>
      <c r="S126" s="17"/>
      <c r="T126" s="17"/>
      <c r="U126" s="18">
        <f>РПЗ!P126</f>
        <v>43009</v>
      </c>
      <c r="V126" s="17"/>
      <c r="W126" s="285">
        <f>РПЗ!L126</f>
        <v>2123000</v>
      </c>
      <c r="X126" s="286"/>
      <c r="Y126" s="286"/>
      <c r="Z126" s="300"/>
      <c r="AA126" s="287"/>
      <c r="AB126" s="116"/>
      <c r="AC126" s="17"/>
      <c r="AD126" s="288"/>
      <c r="AE126" s="17"/>
      <c r="AF126" s="287"/>
      <c r="AG126" s="116"/>
      <c r="AH126" s="285" t="str">
        <f>IF(Таблица5[[#This Row],[30]]=0,"НД",Таблица5[[#This Row],[20]]-Таблица5[[#This Row],[30]])</f>
        <v>НД</v>
      </c>
      <c r="AI126" s="693" t="str">
        <f>IF(((1-Таблица5[[#This Row],[30]]/Таблица5[[#This Row],[20]])=1),"НД",(1-Таблица5[[#This Row],[30]]/Таблица5[[#This Row],[20]]))</f>
        <v>НД</v>
      </c>
      <c r="AJ126" s="116"/>
      <c r="AK126" s="116"/>
      <c r="AL126" s="694"/>
      <c r="AM126" s="51"/>
      <c r="AN126" s="288"/>
      <c r="AO126" s="377">
        <f>IF(Таблица5[[#This Row],[11]]=0,,MONTH(Таблица5[[#This Row],[11]]))</f>
        <v>0</v>
      </c>
    </row>
    <row r="127" spans="1:41" ht="80.099999999999994" customHeight="1" x14ac:dyDescent="0.25">
      <c r="A127" s="282" t="str">
        <f t="shared" si="1"/>
        <v>0645-00112</v>
      </c>
      <c r="B127" s="282" t="str">
        <f>РПЗ!$D127</f>
        <v xml:space="preserve">  0645-00112. Поставка соединителей</v>
      </c>
      <c r="C127" s="282" t="str">
        <f>РПЗ!$AA127</f>
        <v>Коммерческий отдел Дорохов Виктор Николаевич +7(812) 532-78-22</v>
      </c>
      <c r="D127" s="15" t="str">
        <f>РПЗ!$AB127</f>
        <v>Заказчик</v>
      </c>
      <c r="E127" s="692"/>
      <c r="F127" s="282" t="str">
        <f>РПЗ!Q127</f>
        <v>ЕП</v>
      </c>
      <c r="G127" s="287"/>
      <c r="H127" s="287" t="str">
        <f>РПЗ!R127</f>
        <v>Нет</v>
      </c>
      <c r="I127" s="15" t="str">
        <f>РПЗ!W127</f>
        <v>6.6.2(10)</v>
      </c>
      <c r="J127" s="282" t="str">
        <f>РПЗ!X127</f>
        <v>0901021006</v>
      </c>
      <c r="K127" s="336">
        <f>РПЗ!Z127</f>
        <v>1578000</v>
      </c>
      <c r="L127" s="17"/>
      <c r="M127" s="18">
        <f>РПЗ!O127</f>
        <v>42795</v>
      </c>
      <c r="N127" s="289"/>
      <c r="O127" s="17"/>
      <c r="P127" s="17"/>
      <c r="Q127" s="17"/>
      <c r="R127" s="17"/>
      <c r="S127" s="17"/>
      <c r="T127" s="17"/>
      <c r="U127" s="18">
        <f>РПЗ!P127</f>
        <v>42856</v>
      </c>
      <c r="V127" s="17"/>
      <c r="W127" s="285">
        <f>РПЗ!L127</f>
        <v>1578000</v>
      </c>
      <c r="X127" s="286"/>
      <c r="Y127" s="286"/>
      <c r="Z127" s="300"/>
      <c r="AA127" s="287"/>
      <c r="AB127" s="116"/>
      <c r="AC127" s="17"/>
      <c r="AD127" s="288"/>
      <c r="AE127" s="17"/>
      <c r="AF127" s="287"/>
      <c r="AG127" s="116"/>
      <c r="AH127" s="285" t="str">
        <f>IF(Таблица5[[#This Row],[30]]=0,"НД",Таблица5[[#This Row],[20]]-Таблица5[[#This Row],[30]])</f>
        <v>НД</v>
      </c>
      <c r="AI127" s="693" t="str">
        <f>IF(((1-Таблица5[[#This Row],[30]]/Таблица5[[#This Row],[20]])=1),"НД",(1-Таблица5[[#This Row],[30]]/Таблица5[[#This Row],[20]]))</f>
        <v>НД</v>
      </c>
      <c r="AJ127" s="116"/>
      <c r="AK127" s="116"/>
      <c r="AL127" s="694"/>
      <c r="AM127" s="51"/>
      <c r="AN127" s="288"/>
      <c r="AO127" s="377">
        <f>IF(Таблица5[[#This Row],[11]]=0,,MONTH(Таблица5[[#This Row],[11]]))</f>
        <v>0</v>
      </c>
    </row>
    <row r="128" spans="1:41" ht="80.099999999999994" customHeight="1" x14ac:dyDescent="0.25">
      <c r="A128" s="282" t="str">
        <f t="shared" si="1"/>
        <v>0645-00113</v>
      </c>
      <c r="B128" s="282" t="str">
        <f>РПЗ!$D128</f>
        <v xml:space="preserve">  0645-00113. Поставка соединителей</v>
      </c>
      <c r="C128" s="282" t="str">
        <f>РПЗ!$AA128</f>
        <v>Коммерческий отдел Дорохов Виктор Николаевич +7(812) 532-78-22</v>
      </c>
      <c r="D128" s="15" t="str">
        <f>РПЗ!$AB128</f>
        <v>Заказчик</v>
      </c>
      <c r="E128" s="692"/>
      <c r="F128" s="282" t="str">
        <f>РПЗ!Q128</f>
        <v>ЕП</v>
      </c>
      <c r="G128" s="287"/>
      <c r="H128" s="287" t="str">
        <f>РПЗ!R128</f>
        <v>Нет</v>
      </c>
      <c r="I128" s="15" t="str">
        <f>РПЗ!W128</f>
        <v>6.6.2(10)</v>
      </c>
      <c r="J128" s="282" t="str">
        <f>РПЗ!X128</f>
        <v>0901021006</v>
      </c>
      <c r="K128" s="336">
        <f>РПЗ!Z128</f>
        <v>1023000</v>
      </c>
      <c r="L128" s="17"/>
      <c r="M128" s="18">
        <f>РПЗ!O128</f>
        <v>42948</v>
      </c>
      <c r="N128" s="289"/>
      <c r="O128" s="17"/>
      <c r="P128" s="17"/>
      <c r="Q128" s="17"/>
      <c r="R128" s="17"/>
      <c r="S128" s="17"/>
      <c r="T128" s="17"/>
      <c r="U128" s="18">
        <f>РПЗ!P128</f>
        <v>43009</v>
      </c>
      <c r="V128" s="17"/>
      <c r="W128" s="285">
        <f>РПЗ!L128</f>
        <v>1023000</v>
      </c>
      <c r="X128" s="286"/>
      <c r="Y128" s="286"/>
      <c r="Z128" s="300"/>
      <c r="AA128" s="287"/>
      <c r="AB128" s="116"/>
      <c r="AC128" s="17"/>
      <c r="AD128" s="288"/>
      <c r="AE128" s="17"/>
      <c r="AF128" s="287"/>
      <c r="AG128" s="116"/>
      <c r="AH128" s="285" t="str">
        <f>IF(Таблица5[[#This Row],[30]]=0,"НД",Таблица5[[#This Row],[20]]-Таблица5[[#This Row],[30]])</f>
        <v>НД</v>
      </c>
      <c r="AI128" s="693" t="str">
        <f>IF(((1-Таблица5[[#This Row],[30]]/Таблица5[[#This Row],[20]])=1),"НД",(1-Таблица5[[#This Row],[30]]/Таблица5[[#This Row],[20]]))</f>
        <v>НД</v>
      </c>
      <c r="AJ128" s="116"/>
      <c r="AK128" s="116"/>
      <c r="AL128" s="694"/>
      <c r="AM128" s="51"/>
      <c r="AN128" s="288"/>
      <c r="AO128" s="377">
        <f>IF(Таблица5[[#This Row],[11]]=0,,MONTH(Таблица5[[#This Row],[11]]))</f>
        <v>0</v>
      </c>
    </row>
    <row r="129" spans="1:41" ht="80.099999999999994" customHeight="1" x14ac:dyDescent="0.25">
      <c r="A129" s="282" t="str">
        <f t="shared" si="1"/>
        <v>0645-00114</v>
      </c>
      <c r="B129" s="282" t="str">
        <f>РПЗ!$D129</f>
        <v xml:space="preserve">  0645-00114. Поставка соединителей</v>
      </c>
      <c r="C129" s="282" t="str">
        <f>РПЗ!$AA129</f>
        <v>Коммерческий отдел Дорохов Виктор Николаевич +7(812) 532-78-22</v>
      </c>
      <c r="D129" s="15" t="str">
        <f>РПЗ!$AB129</f>
        <v>Заказчик</v>
      </c>
      <c r="E129" s="692"/>
      <c r="F129" s="282" t="str">
        <f>РПЗ!Q129</f>
        <v>ЕП</v>
      </c>
      <c r="G129" s="287"/>
      <c r="H129" s="287" t="str">
        <f>РПЗ!R129</f>
        <v>Нет</v>
      </c>
      <c r="I129" s="15" t="str">
        <f>РПЗ!W129</f>
        <v>6.6.2(10)</v>
      </c>
      <c r="J129" s="282" t="str">
        <f>РПЗ!X129</f>
        <v>1217000287</v>
      </c>
      <c r="K129" s="336">
        <f>РПЗ!Z129</f>
        <v>579000</v>
      </c>
      <c r="L129" s="17"/>
      <c r="M129" s="18">
        <f>РПЗ!O129</f>
        <v>42948</v>
      </c>
      <c r="N129" s="289"/>
      <c r="O129" s="17"/>
      <c r="P129" s="17"/>
      <c r="Q129" s="17"/>
      <c r="R129" s="17"/>
      <c r="S129" s="17"/>
      <c r="T129" s="17"/>
      <c r="U129" s="18">
        <f>РПЗ!P129</f>
        <v>43009</v>
      </c>
      <c r="V129" s="17"/>
      <c r="W129" s="285">
        <f>РПЗ!L129</f>
        <v>579000</v>
      </c>
      <c r="X129" s="286"/>
      <c r="Y129" s="286"/>
      <c r="Z129" s="300"/>
      <c r="AA129" s="287"/>
      <c r="AB129" s="116"/>
      <c r="AC129" s="17"/>
      <c r="AD129" s="288"/>
      <c r="AE129" s="17"/>
      <c r="AF129" s="287"/>
      <c r="AG129" s="116"/>
      <c r="AH129" s="285" t="str">
        <f>IF(Таблица5[[#This Row],[30]]=0,"НД",Таблица5[[#This Row],[20]]-Таблица5[[#This Row],[30]])</f>
        <v>НД</v>
      </c>
      <c r="AI129" s="693" t="str">
        <f>IF(((1-Таблица5[[#This Row],[30]]/Таблица5[[#This Row],[20]])=1),"НД",(1-Таблица5[[#This Row],[30]]/Таблица5[[#This Row],[20]]))</f>
        <v>НД</v>
      </c>
      <c r="AJ129" s="116"/>
      <c r="AK129" s="116"/>
      <c r="AL129" s="694"/>
      <c r="AM129" s="51"/>
      <c r="AN129" s="288"/>
      <c r="AO129" s="377">
        <f>IF(Таблица5[[#This Row],[11]]=0,,MONTH(Таблица5[[#This Row],[11]]))</f>
        <v>0</v>
      </c>
    </row>
    <row r="130" spans="1:41" ht="80.099999999999994" customHeight="1" x14ac:dyDescent="0.25">
      <c r="A130" s="282" t="str">
        <f t="shared" si="1"/>
        <v>0645-00115</v>
      </c>
      <c r="B130" s="282" t="str">
        <f>РПЗ!$D130</f>
        <v xml:space="preserve"> 0645-00115. Поставка микросхем</v>
      </c>
      <c r="C130" s="282" t="str">
        <f>РПЗ!$AA130</f>
        <v>Коммерческий отдел Дорохов Виктор Николаевич +7(812) 532-78-22</v>
      </c>
      <c r="D130" s="15" t="str">
        <f>РПЗ!$AB130</f>
        <v>АО ОПК</v>
      </c>
      <c r="E130" s="692"/>
      <c r="F130" s="282" t="str">
        <f>РПЗ!Q130</f>
        <v>ЕП</v>
      </c>
      <c r="G130" s="287"/>
      <c r="H130" s="287" t="str">
        <f>РПЗ!R130</f>
        <v>Нет</v>
      </c>
      <c r="I130" s="15" t="str">
        <f>РПЗ!W130</f>
        <v>6.6.2(10)</v>
      </c>
      <c r="J130" s="282" t="str">
        <f>РПЗ!X130</f>
        <v>3661033635</v>
      </c>
      <c r="K130" s="336">
        <f>РПЗ!Z130</f>
        <v>13882055.800000001</v>
      </c>
      <c r="L130" s="17"/>
      <c r="M130" s="18">
        <f>РПЗ!O130</f>
        <v>42826</v>
      </c>
      <c r="N130" s="289"/>
      <c r="O130" s="17"/>
      <c r="P130" s="17"/>
      <c r="Q130" s="17"/>
      <c r="R130" s="17"/>
      <c r="S130" s="17"/>
      <c r="T130" s="17"/>
      <c r="U130" s="18">
        <f>РПЗ!P130</f>
        <v>42917</v>
      </c>
      <c r="V130" s="17"/>
      <c r="W130" s="285">
        <f>РПЗ!L130</f>
        <v>13882055.800000001</v>
      </c>
      <c r="X130" s="286"/>
      <c r="Y130" s="286"/>
      <c r="Z130" s="300"/>
      <c r="AA130" s="287"/>
      <c r="AB130" s="116"/>
      <c r="AC130" s="17"/>
      <c r="AD130" s="288"/>
      <c r="AE130" s="17"/>
      <c r="AF130" s="287"/>
      <c r="AG130" s="116"/>
      <c r="AH130" s="285" t="str">
        <f>IF(Таблица5[[#This Row],[30]]=0,"НД",Таблица5[[#This Row],[20]]-Таблица5[[#This Row],[30]])</f>
        <v>НД</v>
      </c>
      <c r="AI130" s="693" t="str">
        <f>IF(((1-Таблица5[[#This Row],[30]]/Таблица5[[#This Row],[20]])=1),"НД",(1-Таблица5[[#This Row],[30]]/Таблица5[[#This Row],[20]]))</f>
        <v>НД</v>
      </c>
      <c r="AJ130" s="116"/>
      <c r="AK130" s="116"/>
      <c r="AL130" s="694"/>
      <c r="AM130" s="51"/>
      <c r="AN130" s="288"/>
      <c r="AO130" s="377">
        <f>IF(Таблица5[[#This Row],[11]]=0,,MONTH(Таблица5[[#This Row],[11]]))</f>
        <v>0</v>
      </c>
    </row>
    <row r="131" spans="1:41" ht="80.099999999999994" customHeight="1" x14ac:dyDescent="0.25">
      <c r="A131" s="282" t="str">
        <f t="shared" si="1"/>
        <v>0645-00116</v>
      </c>
      <c r="B131" s="282" t="str">
        <f>РПЗ!$D131</f>
        <v xml:space="preserve"> 0645-00116. Поставка микросхем</v>
      </c>
      <c r="C131" s="282" t="str">
        <f>РПЗ!$AA131</f>
        <v>Коммерческий отдел Дорохов Виктор Николаевич +7(812) 532-78-22</v>
      </c>
      <c r="D131" s="15" t="str">
        <f>РПЗ!$AB131</f>
        <v>АО ОПК</v>
      </c>
      <c r="E131" s="692"/>
      <c r="F131" s="282" t="str">
        <f>РПЗ!Q131</f>
        <v>ЕП</v>
      </c>
      <c r="G131" s="287"/>
      <c r="H131" s="287" t="str">
        <f>РПЗ!R131</f>
        <v>Нет</v>
      </c>
      <c r="I131" s="15" t="str">
        <f>РПЗ!W131</f>
        <v>6.6.2(10)</v>
      </c>
      <c r="J131" s="282" t="str">
        <f>РПЗ!X131</f>
        <v>3661033635</v>
      </c>
      <c r="K131" s="336">
        <f>РПЗ!Z131</f>
        <v>6971000</v>
      </c>
      <c r="L131" s="17"/>
      <c r="M131" s="18">
        <f>РПЗ!O131</f>
        <v>42917</v>
      </c>
      <c r="N131" s="289"/>
      <c r="O131" s="17"/>
      <c r="P131" s="17"/>
      <c r="Q131" s="17"/>
      <c r="R131" s="17"/>
      <c r="S131" s="17"/>
      <c r="T131" s="17"/>
      <c r="U131" s="18">
        <f>РПЗ!P131</f>
        <v>43009</v>
      </c>
      <c r="V131" s="17"/>
      <c r="W131" s="285">
        <f>РПЗ!L131</f>
        <v>6971000</v>
      </c>
      <c r="X131" s="286"/>
      <c r="Y131" s="286"/>
      <c r="Z131" s="300"/>
      <c r="AA131" s="287"/>
      <c r="AB131" s="116"/>
      <c r="AC131" s="17"/>
      <c r="AD131" s="288"/>
      <c r="AE131" s="17"/>
      <c r="AF131" s="287"/>
      <c r="AG131" s="116"/>
      <c r="AH131" s="285" t="str">
        <f>IF(Таблица5[[#This Row],[30]]=0,"НД",Таблица5[[#This Row],[20]]-Таблица5[[#This Row],[30]])</f>
        <v>НД</v>
      </c>
      <c r="AI131" s="693" t="str">
        <f>IF(((1-Таблица5[[#This Row],[30]]/Таблица5[[#This Row],[20]])=1),"НД",(1-Таблица5[[#This Row],[30]]/Таблица5[[#This Row],[20]]))</f>
        <v>НД</v>
      </c>
      <c r="AJ131" s="116"/>
      <c r="AK131" s="116"/>
      <c r="AL131" s="694"/>
      <c r="AM131" s="51"/>
      <c r="AN131" s="288"/>
      <c r="AO131" s="377">
        <f>IF(Таблица5[[#This Row],[11]]=0,,MONTH(Таблица5[[#This Row],[11]]))</f>
        <v>0</v>
      </c>
    </row>
    <row r="132" spans="1:41" ht="80.099999999999994" customHeight="1" x14ac:dyDescent="0.25">
      <c r="A132" s="282" t="str">
        <f t="shared" si="1"/>
        <v>0645-00117</v>
      </c>
      <c r="B132" s="282" t="str">
        <f>РПЗ!$D132</f>
        <v xml:space="preserve"> 0645-00117. Поставка электровентиляторов</v>
      </c>
      <c r="C132" s="282" t="str">
        <f>РПЗ!$AA132</f>
        <v>Коммерческий отдел Дорохов Виктор Николаевич +7(812) 532-78-22</v>
      </c>
      <c r="D132" s="15" t="str">
        <f>РПЗ!$AB132</f>
        <v>Заказчик</v>
      </c>
      <c r="E132" s="692"/>
      <c r="F132" s="282" t="str">
        <f>РПЗ!Q132</f>
        <v>ЕП</v>
      </c>
      <c r="G132" s="287"/>
      <c r="H132" s="287" t="str">
        <f>РПЗ!R132</f>
        <v>Нет</v>
      </c>
      <c r="I132" s="15" t="str">
        <f>РПЗ!W132</f>
        <v>6.6.2(10)</v>
      </c>
      <c r="J132" s="282" t="str">
        <f>РПЗ!X132</f>
        <v>5905220812</v>
      </c>
      <c r="K132" s="336">
        <f>РПЗ!Z132</f>
        <v>130000</v>
      </c>
      <c r="L132" s="17"/>
      <c r="M132" s="18">
        <f>РПЗ!O132</f>
        <v>42826</v>
      </c>
      <c r="N132" s="289"/>
      <c r="O132" s="17"/>
      <c r="P132" s="17"/>
      <c r="Q132" s="17"/>
      <c r="R132" s="17"/>
      <c r="S132" s="17"/>
      <c r="T132" s="17"/>
      <c r="U132" s="18">
        <f>РПЗ!P132</f>
        <v>42917</v>
      </c>
      <c r="V132" s="17"/>
      <c r="W132" s="285">
        <f>РПЗ!L132</f>
        <v>130000</v>
      </c>
      <c r="X132" s="286"/>
      <c r="Y132" s="286"/>
      <c r="Z132" s="300"/>
      <c r="AA132" s="287"/>
      <c r="AB132" s="116"/>
      <c r="AC132" s="17"/>
      <c r="AD132" s="288"/>
      <c r="AE132" s="17"/>
      <c r="AF132" s="287"/>
      <c r="AG132" s="116"/>
      <c r="AH132" s="285" t="str">
        <f>IF(Таблица5[[#This Row],[30]]=0,"НД",Таблица5[[#This Row],[20]]-Таблица5[[#This Row],[30]])</f>
        <v>НД</v>
      </c>
      <c r="AI132" s="693" t="str">
        <f>IF(((1-Таблица5[[#This Row],[30]]/Таблица5[[#This Row],[20]])=1),"НД",(1-Таблица5[[#This Row],[30]]/Таблица5[[#This Row],[20]]))</f>
        <v>НД</v>
      </c>
      <c r="AJ132" s="116"/>
      <c r="AK132" s="116"/>
      <c r="AL132" s="694"/>
      <c r="AM132" s="51"/>
      <c r="AN132" s="288"/>
      <c r="AO132" s="377">
        <f>IF(Таблица5[[#This Row],[11]]=0,,MONTH(Таблица5[[#This Row],[11]]))</f>
        <v>0</v>
      </c>
    </row>
    <row r="133" spans="1:41" ht="80.099999999999994" customHeight="1" x14ac:dyDescent="0.25">
      <c r="A133" s="282" t="str">
        <f t="shared" si="1"/>
        <v>0645-00118</v>
      </c>
      <c r="B133" s="282" t="str">
        <f>РПЗ!$D133</f>
        <v xml:space="preserve">  0645-00118. Поставка соединителей</v>
      </c>
      <c r="C133" s="282" t="str">
        <f>РПЗ!$AA133</f>
        <v>Коммерческий отдел Дорохов Виктор Николаевич +7(812) 532-78-22</v>
      </c>
      <c r="D133" s="15" t="str">
        <f>РПЗ!$AB133</f>
        <v>Заказчик</v>
      </c>
      <c r="E133" s="692"/>
      <c r="F133" s="282" t="str">
        <f>РПЗ!Q133</f>
        <v>ЕП</v>
      </c>
      <c r="G133" s="287"/>
      <c r="H133" s="287" t="str">
        <f>РПЗ!R133</f>
        <v>Нет</v>
      </c>
      <c r="I133" s="15" t="str">
        <f>РПЗ!W133</f>
        <v>6.6.2(10)</v>
      </c>
      <c r="J133" s="282">
        <f>РПЗ!X133</f>
        <v>1657032272</v>
      </c>
      <c r="K133" s="336">
        <f>РПЗ!Z133</f>
        <v>1886000</v>
      </c>
      <c r="L133" s="17"/>
      <c r="M133" s="18">
        <f>РПЗ!O133</f>
        <v>42795</v>
      </c>
      <c r="N133" s="289"/>
      <c r="O133" s="17"/>
      <c r="P133" s="17"/>
      <c r="Q133" s="17"/>
      <c r="R133" s="17"/>
      <c r="S133" s="17"/>
      <c r="T133" s="17"/>
      <c r="U133" s="18">
        <f>РПЗ!P133</f>
        <v>42887</v>
      </c>
      <c r="V133" s="17"/>
      <c r="W133" s="285">
        <f>РПЗ!L133</f>
        <v>1886000</v>
      </c>
      <c r="X133" s="286"/>
      <c r="Y133" s="286"/>
      <c r="Z133" s="300"/>
      <c r="AA133" s="287"/>
      <c r="AB133" s="116"/>
      <c r="AC133" s="17"/>
      <c r="AD133" s="288"/>
      <c r="AE133" s="17"/>
      <c r="AF133" s="287"/>
      <c r="AG133" s="116"/>
      <c r="AH133" s="285" t="str">
        <f>IF(Таблица5[[#This Row],[30]]=0,"НД",Таблица5[[#This Row],[20]]-Таблица5[[#This Row],[30]])</f>
        <v>НД</v>
      </c>
      <c r="AI133" s="693" t="str">
        <f>IF(((1-Таблица5[[#This Row],[30]]/Таблица5[[#This Row],[20]])=1),"НД",(1-Таблица5[[#This Row],[30]]/Таблица5[[#This Row],[20]]))</f>
        <v>НД</v>
      </c>
      <c r="AJ133" s="116"/>
      <c r="AK133" s="116"/>
      <c r="AL133" s="694"/>
      <c r="AM133" s="51"/>
      <c r="AN133" s="288"/>
      <c r="AO133" s="377">
        <f>IF(Таблица5[[#This Row],[11]]=0,,MONTH(Таблица5[[#This Row],[11]]))</f>
        <v>0</v>
      </c>
    </row>
    <row r="134" spans="1:41" ht="80.099999999999994" customHeight="1" x14ac:dyDescent="0.25">
      <c r="A134" s="282" t="str">
        <f t="shared" si="1"/>
        <v>0645-00119</v>
      </c>
      <c r="B134" s="282" t="str">
        <f>РПЗ!$D134</f>
        <v xml:space="preserve">  0645-00119. Поставка соединителей</v>
      </c>
      <c r="C134" s="282" t="str">
        <f>РПЗ!$AA134</f>
        <v>Коммерческий отдел Дорохов Виктор Николаевич +7(812) 532-78-22</v>
      </c>
      <c r="D134" s="15" t="str">
        <f>РПЗ!$AB134</f>
        <v>Заказчик</v>
      </c>
      <c r="E134" s="692"/>
      <c r="F134" s="282" t="str">
        <f>РПЗ!Q134</f>
        <v>ЕП</v>
      </c>
      <c r="G134" s="287"/>
      <c r="H134" s="287" t="str">
        <f>РПЗ!R134</f>
        <v>Нет</v>
      </c>
      <c r="I134" s="15" t="str">
        <f>РПЗ!W134</f>
        <v>6.6.2(10)</v>
      </c>
      <c r="J134" s="282">
        <f>РПЗ!X134</f>
        <v>1657032272</v>
      </c>
      <c r="K134" s="336">
        <f>РПЗ!Z134</f>
        <v>2251000</v>
      </c>
      <c r="L134" s="17"/>
      <c r="M134" s="18">
        <f>РПЗ!O134</f>
        <v>42856</v>
      </c>
      <c r="N134" s="289"/>
      <c r="O134" s="17"/>
      <c r="P134" s="17"/>
      <c r="Q134" s="17"/>
      <c r="R134" s="17"/>
      <c r="S134" s="17"/>
      <c r="T134" s="17"/>
      <c r="U134" s="18">
        <f>РПЗ!P134</f>
        <v>42979</v>
      </c>
      <c r="V134" s="17"/>
      <c r="W134" s="285">
        <f>РПЗ!L134</f>
        <v>2251000</v>
      </c>
      <c r="X134" s="286"/>
      <c r="Y134" s="286"/>
      <c r="Z134" s="300"/>
      <c r="AA134" s="287"/>
      <c r="AB134" s="116"/>
      <c r="AC134" s="17"/>
      <c r="AD134" s="288"/>
      <c r="AE134" s="17"/>
      <c r="AF134" s="287"/>
      <c r="AG134" s="116"/>
      <c r="AH134" s="285" t="str">
        <f>IF(Таблица5[[#This Row],[30]]=0,"НД",Таблица5[[#This Row],[20]]-Таблица5[[#This Row],[30]])</f>
        <v>НД</v>
      </c>
      <c r="AI134" s="693" t="str">
        <f>IF(((1-Таблица5[[#This Row],[30]]/Таблица5[[#This Row],[20]])=1),"НД",(1-Таблица5[[#This Row],[30]]/Таблица5[[#This Row],[20]]))</f>
        <v>НД</v>
      </c>
      <c r="AJ134" s="116"/>
      <c r="AK134" s="116"/>
      <c r="AL134" s="694"/>
      <c r="AM134" s="51"/>
      <c r="AN134" s="288"/>
      <c r="AO134" s="377">
        <f>IF(Таблица5[[#This Row],[11]]=0,,MONTH(Таблица5[[#This Row],[11]]))</f>
        <v>0</v>
      </c>
    </row>
    <row r="135" spans="1:41" ht="80.099999999999994" customHeight="1" x14ac:dyDescent="0.25">
      <c r="A135" s="282" t="str">
        <f t="shared" si="1"/>
        <v>0645-00120</v>
      </c>
      <c r="B135" s="282" t="str">
        <f>РПЗ!$D135</f>
        <v xml:space="preserve">  0645-00120. Поставка соединителей</v>
      </c>
      <c r="C135" s="282" t="str">
        <f>РПЗ!$AA135</f>
        <v>Коммерческий отдел Дорохов Виктор Николаевич +7(812) 532-78-22</v>
      </c>
      <c r="D135" s="15" t="str">
        <f>РПЗ!$AB135</f>
        <v>Заказчик</v>
      </c>
      <c r="E135" s="692"/>
      <c r="F135" s="282" t="str">
        <f>РПЗ!Q135</f>
        <v>ЕП</v>
      </c>
      <c r="G135" s="287"/>
      <c r="H135" s="287" t="str">
        <f>РПЗ!R135</f>
        <v>Нет</v>
      </c>
      <c r="I135" s="15" t="str">
        <f>РПЗ!W135</f>
        <v>6.6.2(10)</v>
      </c>
      <c r="J135" s="282">
        <f>РПЗ!X135</f>
        <v>1657032272</v>
      </c>
      <c r="K135" s="336">
        <f>РПЗ!Z135</f>
        <v>1130000</v>
      </c>
      <c r="L135" s="17"/>
      <c r="M135" s="18">
        <f>РПЗ!O135</f>
        <v>42948</v>
      </c>
      <c r="N135" s="289"/>
      <c r="O135" s="17"/>
      <c r="P135" s="17"/>
      <c r="Q135" s="17"/>
      <c r="R135" s="17"/>
      <c r="S135" s="17"/>
      <c r="T135" s="17"/>
      <c r="U135" s="18">
        <f>РПЗ!P135</f>
        <v>43070</v>
      </c>
      <c r="V135" s="17"/>
      <c r="W135" s="285">
        <f>РПЗ!L135</f>
        <v>1130000</v>
      </c>
      <c r="X135" s="286"/>
      <c r="Y135" s="286"/>
      <c r="Z135" s="300"/>
      <c r="AA135" s="287"/>
      <c r="AB135" s="116"/>
      <c r="AC135" s="17"/>
      <c r="AD135" s="288"/>
      <c r="AE135" s="17"/>
      <c r="AF135" s="287"/>
      <c r="AG135" s="116"/>
      <c r="AH135" s="285" t="str">
        <f>IF(Таблица5[[#This Row],[30]]=0,"НД",Таблица5[[#This Row],[20]]-Таблица5[[#This Row],[30]])</f>
        <v>НД</v>
      </c>
      <c r="AI135" s="693" t="str">
        <f>IF(((1-Таблица5[[#This Row],[30]]/Таблица5[[#This Row],[20]])=1),"НД",(1-Таблица5[[#This Row],[30]]/Таблица5[[#This Row],[20]]))</f>
        <v>НД</v>
      </c>
      <c r="AJ135" s="116"/>
      <c r="AK135" s="116"/>
      <c r="AL135" s="694"/>
      <c r="AM135" s="51"/>
      <c r="AN135" s="288"/>
      <c r="AO135" s="377">
        <f>IF(Таблица5[[#This Row],[11]]=0,,MONTH(Таблица5[[#This Row],[11]]))</f>
        <v>0</v>
      </c>
    </row>
    <row r="136" spans="1:41" ht="80.099999999999994" customHeight="1" x14ac:dyDescent="0.25">
      <c r="A136" s="282" t="str">
        <f t="shared" si="1"/>
        <v>0645-00121</v>
      </c>
      <c r="B136" s="282" t="str">
        <f>РПЗ!$D136</f>
        <v xml:space="preserve"> 0645-00121. Поставка материалов для изготовления кабельных изделий</v>
      </c>
      <c r="C136" s="282" t="str">
        <f>РПЗ!$AA136</f>
        <v>Коммерческий отдел Дорохов Виктор Николаевич +7(812) 532-78-22</v>
      </c>
      <c r="D136" s="15" t="str">
        <f>РПЗ!$AB136</f>
        <v>Заказчик</v>
      </c>
      <c r="E136" s="692"/>
      <c r="F136" s="282" t="str">
        <f>РПЗ!Q136</f>
        <v>ОЗК</v>
      </c>
      <c r="G136" s="287"/>
      <c r="H136" s="287" t="str">
        <f>РПЗ!R136</f>
        <v>Да</v>
      </c>
      <c r="I136" s="15" t="str">
        <f>РПЗ!W136</f>
        <v>не применимо</v>
      </c>
      <c r="J136" s="282" t="str">
        <f>РПЗ!X136</f>
        <v>не применимо</v>
      </c>
      <c r="K136" s="336" t="str">
        <f>РПЗ!Z136</f>
        <v>не применимо</v>
      </c>
      <c r="L136" s="17"/>
      <c r="M136" s="18">
        <f>РПЗ!O136</f>
        <v>42767</v>
      </c>
      <c r="N136" s="289"/>
      <c r="O136" s="17"/>
      <c r="P136" s="17"/>
      <c r="Q136" s="17"/>
      <c r="R136" s="17"/>
      <c r="S136" s="17"/>
      <c r="T136" s="17"/>
      <c r="U136" s="18">
        <f>РПЗ!P136</f>
        <v>42917</v>
      </c>
      <c r="V136" s="17"/>
      <c r="W136" s="285">
        <f>РПЗ!L136</f>
        <v>4900000</v>
      </c>
      <c r="X136" s="286"/>
      <c r="Y136" s="286"/>
      <c r="Z136" s="300"/>
      <c r="AA136" s="287"/>
      <c r="AB136" s="116"/>
      <c r="AC136" s="17"/>
      <c r="AD136" s="288"/>
      <c r="AE136" s="17"/>
      <c r="AF136" s="287"/>
      <c r="AG136" s="116"/>
      <c r="AH136" s="285" t="str">
        <f>IF(Таблица5[[#This Row],[30]]=0,"НД",Таблица5[[#This Row],[20]]-Таблица5[[#This Row],[30]])</f>
        <v>НД</v>
      </c>
      <c r="AI136" s="693" t="str">
        <f>IF(((1-Таблица5[[#This Row],[30]]/Таблица5[[#This Row],[20]])=1),"НД",(1-Таблица5[[#This Row],[30]]/Таблица5[[#This Row],[20]]))</f>
        <v>НД</v>
      </c>
      <c r="AJ136" s="116"/>
      <c r="AK136" s="116"/>
      <c r="AL136" s="694"/>
      <c r="AM136" s="51"/>
      <c r="AN136" s="288"/>
      <c r="AO136" s="377">
        <f>IF(Таблица5[[#This Row],[11]]=0,,MONTH(Таблица5[[#This Row],[11]]))</f>
        <v>0</v>
      </c>
    </row>
    <row r="137" spans="1:41" ht="80.099999999999994" customHeight="1" x14ac:dyDescent="0.25">
      <c r="A137" s="282" t="str">
        <f t="shared" si="1"/>
        <v>0645-00122</v>
      </c>
      <c r="B137" s="282" t="str">
        <f>РПЗ!$D137</f>
        <v xml:space="preserve"> 0645-00122. Поставка материалов для изготовления кабельных изделий</v>
      </c>
      <c r="C137" s="282" t="str">
        <f>РПЗ!$AA137</f>
        <v>Коммерческий отдел Дорохов Виктор Николаевич +7(812) 532-78-22</v>
      </c>
      <c r="D137" s="15" t="str">
        <f>РПЗ!$AB137</f>
        <v>Заказчик</v>
      </c>
      <c r="E137" s="692"/>
      <c r="F137" s="282" t="str">
        <f>РПЗ!Q137</f>
        <v>ОЗК</v>
      </c>
      <c r="G137" s="287"/>
      <c r="H137" s="287" t="str">
        <f>РПЗ!R137</f>
        <v>Да</v>
      </c>
      <c r="I137" s="15" t="str">
        <f>РПЗ!W137</f>
        <v>не применимо</v>
      </c>
      <c r="J137" s="282" t="str">
        <f>РПЗ!X137</f>
        <v>не применимо</v>
      </c>
      <c r="K137" s="336" t="str">
        <f>РПЗ!Z137</f>
        <v>не применимо</v>
      </c>
      <c r="L137" s="17"/>
      <c r="M137" s="18">
        <f>РПЗ!O137</f>
        <v>42948</v>
      </c>
      <c r="N137" s="289"/>
      <c r="O137" s="17"/>
      <c r="P137" s="17"/>
      <c r="Q137" s="17"/>
      <c r="R137" s="17"/>
      <c r="S137" s="17"/>
      <c r="T137" s="17"/>
      <c r="U137" s="18">
        <f>РПЗ!P137</f>
        <v>43040</v>
      </c>
      <c r="V137" s="17"/>
      <c r="W137" s="285">
        <f>РПЗ!L137</f>
        <v>4900000</v>
      </c>
      <c r="X137" s="286"/>
      <c r="Y137" s="286"/>
      <c r="Z137" s="300"/>
      <c r="AA137" s="287"/>
      <c r="AB137" s="116"/>
      <c r="AC137" s="17"/>
      <c r="AD137" s="288"/>
      <c r="AE137" s="17"/>
      <c r="AF137" s="287"/>
      <c r="AG137" s="116"/>
      <c r="AH137" s="285" t="str">
        <f>IF(Таблица5[[#This Row],[30]]=0,"НД",Таблица5[[#This Row],[20]]-Таблица5[[#This Row],[30]])</f>
        <v>НД</v>
      </c>
      <c r="AI137" s="693" t="str">
        <f>IF(((1-Таблица5[[#This Row],[30]]/Таблица5[[#This Row],[20]])=1),"НД",(1-Таблица5[[#This Row],[30]]/Таблица5[[#This Row],[20]]))</f>
        <v>НД</v>
      </c>
      <c r="AJ137" s="116"/>
      <c r="AK137" s="116"/>
      <c r="AL137" s="694"/>
      <c r="AM137" s="51"/>
      <c r="AN137" s="288"/>
      <c r="AO137" s="377">
        <f>IF(Таблица5[[#This Row],[11]]=0,,MONTH(Таблица5[[#This Row],[11]]))</f>
        <v>0</v>
      </c>
    </row>
    <row r="138" spans="1:41" ht="80.099999999999994" customHeight="1" x14ac:dyDescent="0.25">
      <c r="A138" s="282" t="str">
        <f t="shared" si="1"/>
        <v>0645-00123</v>
      </c>
      <c r="B138" s="282" t="str">
        <f>РПЗ!$D138</f>
        <v xml:space="preserve"> 0645-00123. Поставка расходных материалов для МФУ</v>
      </c>
      <c r="C138" s="282" t="str">
        <f>РПЗ!$AA138</f>
        <v>Коммерческий отдел Дорохов Виктор Николаевич +7(812) 532-78-22</v>
      </c>
      <c r="D138" s="15" t="str">
        <f>РПЗ!$AB138</f>
        <v>ООО "РТ-ИНФОРМ"</v>
      </c>
      <c r="E138" s="692"/>
      <c r="F138" s="282" t="str">
        <f>РПЗ!Q138</f>
        <v>ОЗК</v>
      </c>
      <c r="G138" s="287"/>
      <c r="H138" s="287" t="str">
        <f>РПЗ!R138</f>
        <v>Да</v>
      </c>
      <c r="I138" s="15" t="str">
        <f>РПЗ!W138</f>
        <v>не применимо</v>
      </c>
      <c r="J138" s="282" t="str">
        <f>РПЗ!X138</f>
        <v>не применимо</v>
      </c>
      <c r="K138" s="336" t="str">
        <f>РПЗ!Z138</f>
        <v>не применимо</v>
      </c>
      <c r="L138" s="17"/>
      <c r="M138" s="18">
        <f>РПЗ!O138</f>
        <v>42736</v>
      </c>
      <c r="N138" s="289"/>
      <c r="O138" s="17"/>
      <c r="P138" s="17"/>
      <c r="Q138" s="17"/>
      <c r="R138" s="17"/>
      <c r="S138" s="17"/>
      <c r="T138" s="17"/>
      <c r="U138" s="18">
        <f>РПЗ!P138</f>
        <v>42887</v>
      </c>
      <c r="V138" s="17"/>
      <c r="W138" s="285">
        <f>РПЗ!L138</f>
        <v>1150000</v>
      </c>
      <c r="X138" s="286"/>
      <c r="Y138" s="286"/>
      <c r="Z138" s="300"/>
      <c r="AA138" s="287"/>
      <c r="AB138" s="116"/>
      <c r="AC138" s="17"/>
      <c r="AD138" s="288"/>
      <c r="AE138" s="17"/>
      <c r="AF138" s="287"/>
      <c r="AG138" s="116"/>
      <c r="AH138" s="285" t="str">
        <f>IF(Таблица5[[#This Row],[30]]=0,"НД",Таблица5[[#This Row],[20]]-Таблица5[[#This Row],[30]])</f>
        <v>НД</v>
      </c>
      <c r="AI138" s="693" t="str">
        <f>IF(((1-Таблица5[[#This Row],[30]]/Таблица5[[#This Row],[20]])=1),"НД",(1-Таблица5[[#This Row],[30]]/Таблица5[[#This Row],[20]]))</f>
        <v>НД</v>
      </c>
      <c r="AJ138" s="116"/>
      <c r="AK138" s="116"/>
      <c r="AL138" s="694"/>
      <c r="AM138" s="51"/>
      <c r="AN138" s="288"/>
      <c r="AO138" s="377">
        <f>IF(Таблица5[[#This Row],[11]]=0,,MONTH(Таблица5[[#This Row],[11]]))</f>
        <v>0</v>
      </c>
    </row>
    <row r="139" spans="1:41" ht="80.099999999999994" customHeight="1" x14ac:dyDescent="0.25">
      <c r="A139" s="282" t="str">
        <f t="shared" si="1"/>
        <v>0645-00124</v>
      </c>
      <c r="B139" s="282" t="str">
        <f>РПЗ!$D139</f>
        <v xml:space="preserve"> 0645-00124. Поставка бумажной продукции</v>
      </c>
      <c r="C139" s="282" t="str">
        <f>РПЗ!$AA139</f>
        <v>Коммерческий отдел Дорохов Виктор Николаевич +7(812) 532-78-22</v>
      </c>
      <c r="D139" s="15" t="str">
        <f>РПЗ!$AB139</f>
        <v>Заказчик</v>
      </c>
      <c r="E139" s="692"/>
      <c r="F139" s="282" t="str">
        <f>РПЗ!Q139</f>
        <v>ОЗК</v>
      </c>
      <c r="G139" s="287"/>
      <c r="H139" s="287" t="str">
        <f>РПЗ!R139</f>
        <v>Да</v>
      </c>
      <c r="I139" s="15" t="str">
        <f>РПЗ!W139</f>
        <v>не применимо</v>
      </c>
      <c r="J139" s="282" t="str">
        <f>РПЗ!X139</f>
        <v>не применимо</v>
      </c>
      <c r="K139" s="336" t="str">
        <f>РПЗ!Z139</f>
        <v>не применимо</v>
      </c>
      <c r="L139" s="17"/>
      <c r="M139" s="18">
        <f>РПЗ!O139</f>
        <v>42736</v>
      </c>
      <c r="N139" s="289"/>
      <c r="O139" s="17"/>
      <c r="P139" s="17"/>
      <c r="Q139" s="17"/>
      <c r="R139" s="17"/>
      <c r="S139" s="17"/>
      <c r="T139" s="17"/>
      <c r="U139" s="18">
        <f>РПЗ!P139</f>
        <v>42887</v>
      </c>
      <c r="V139" s="17"/>
      <c r="W139" s="285">
        <f>РПЗ!L139</f>
        <v>500000</v>
      </c>
      <c r="X139" s="286"/>
      <c r="Y139" s="286"/>
      <c r="Z139" s="300"/>
      <c r="AA139" s="287"/>
      <c r="AB139" s="116"/>
      <c r="AC139" s="17"/>
      <c r="AD139" s="288"/>
      <c r="AE139" s="17"/>
      <c r="AF139" s="287"/>
      <c r="AG139" s="116"/>
      <c r="AH139" s="285" t="str">
        <f>IF(Таблица5[[#This Row],[30]]=0,"НД",Таблица5[[#This Row],[20]]-Таблица5[[#This Row],[30]])</f>
        <v>НД</v>
      </c>
      <c r="AI139" s="693" t="str">
        <f>IF(((1-Таблица5[[#This Row],[30]]/Таблица5[[#This Row],[20]])=1),"НД",(1-Таблица5[[#This Row],[30]]/Таблица5[[#This Row],[20]]))</f>
        <v>НД</v>
      </c>
      <c r="AJ139" s="116"/>
      <c r="AK139" s="116"/>
      <c r="AL139" s="694"/>
      <c r="AM139" s="51"/>
      <c r="AN139" s="288"/>
      <c r="AO139" s="377">
        <f>IF(Таблица5[[#This Row],[11]]=0,,MONTH(Таблица5[[#This Row],[11]]))</f>
        <v>0</v>
      </c>
    </row>
    <row r="140" spans="1:41" ht="80.099999999999994" customHeight="1" x14ac:dyDescent="0.25">
      <c r="A140" s="282" t="str">
        <f t="shared" si="1"/>
        <v>0645-00125</v>
      </c>
      <c r="B140" s="282" t="str">
        <f>РПЗ!$D140</f>
        <v>0645-00125. Поставка бумажной продукции</v>
      </c>
      <c r="C140" s="282" t="str">
        <f>РПЗ!$AA140</f>
        <v>Коммерческий отдел Дорохов Виктор Николаевич +7(812) 532-78-22</v>
      </c>
      <c r="D140" s="15" t="str">
        <f>РПЗ!$AB140</f>
        <v>Заказчик</v>
      </c>
      <c r="E140" s="692"/>
      <c r="F140" s="282" t="str">
        <f>РПЗ!Q140</f>
        <v>ОЗК</v>
      </c>
      <c r="G140" s="287"/>
      <c r="H140" s="287" t="str">
        <f>РПЗ!R140</f>
        <v>Да</v>
      </c>
      <c r="I140" s="15" t="str">
        <f>РПЗ!W140</f>
        <v>не применимо</v>
      </c>
      <c r="J140" s="282" t="str">
        <f>РПЗ!X140</f>
        <v>не применимо</v>
      </c>
      <c r="K140" s="336" t="str">
        <f>РПЗ!Z140</f>
        <v>не применимо</v>
      </c>
      <c r="L140" s="17"/>
      <c r="M140" s="18">
        <f>РПЗ!O140</f>
        <v>42917</v>
      </c>
      <c r="N140" s="289"/>
      <c r="O140" s="17"/>
      <c r="P140" s="17"/>
      <c r="Q140" s="17"/>
      <c r="R140" s="17"/>
      <c r="S140" s="17"/>
      <c r="T140" s="17"/>
      <c r="U140" s="18">
        <f>РПЗ!P140</f>
        <v>43070</v>
      </c>
      <c r="V140" s="17"/>
      <c r="W140" s="285">
        <f>РПЗ!L140</f>
        <v>540000</v>
      </c>
      <c r="X140" s="286"/>
      <c r="Y140" s="286"/>
      <c r="Z140" s="300"/>
      <c r="AA140" s="287"/>
      <c r="AB140" s="116"/>
      <c r="AC140" s="17"/>
      <c r="AD140" s="288"/>
      <c r="AE140" s="17"/>
      <c r="AF140" s="287"/>
      <c r="AG140" s="116"/>
      <c r="AH140" s="285" t="str">
        <f>IF(Таблица5[[#This Row],[30]]=0,"НД",Таблица5[[#This Row],[20]]-Таблица5[[#This Row],[30]])</f>
        <v>НД</v>
      </c>
      <c r="AI140" s="693" t="str">
        <f>IF(((1-Таблица5[[#This Row],[30]]/Таблица5[[#This Row],[20]])=1),"НД",(1-Таблица5[[#This Row],[30]]/Таблица5[[#This Row],[20]]))</f>
        <v>НД</v>
      </c>
      <c r="AJ140" s="116"/>
      <c r="AK140" s="116"/>
      <c r="AL140" s="694"/>
      <c r="AM140" s="51"/>
      <c r="AN140" s="288"/>
      <c r="AO140" s="377">
        <f>IF(Таблица5[[#This Row],[11]]=0,,MONTH(Таблица5[[#This Row],[11]]))</f>
        <v>0</v>
      </c>
    </row>
    <row r="141" spans="1:41" ht="80.099999999999994" customHeight="1" x14ac:dyDescent="0.25">
      <c r="A141" s="282" t="str">
        <f t="shared" si="1"/>
        <v>0645-00126</v>
      </c>
      <c r="B141" s="282" t="str">
        <f>РПЗ!$D141</f>
        <v xml:space="preserve"> 0645-00126. Поставка черного металлопроката</v>
      </c>
      <c r="C141" s="282" t="str">
        <f>РПЗ!$AA141</f>
        <v>Коммерческий отдел Дорохов Виктор Николаевич +7(812) 532-78-22</v>
      </c>
      <c r="D141" s="15" t="str">
        <f>РПЗ!$AB141</f>
        <v>Заказчик</v>
      </c>
      <c r="E141" s="692"/>
      <c r="F141" s="282" t="str">
        <f>РПЗ!Q141</f>
        <v>ОЗК</v>
      </c>
      <c r="G141" s="287"/>
      <c r="H141" s="287" t="str">
        <f>РПЗ!R141</f>
        <v>Да</v>
      </c>
      <c r="I141" s="15" t="str">
        <f>РПЗ!W141</f>
        <v>не применимо</v>
      </c>
      <c r="J141" s="282" t="str">
        <f>РПЗ!X141</f>
        <v>не применимо</v>
      </c>
      <c r="K141" s="336" t="str">
        <f>РПЗ!Z141</f>
        <v>не применимо</v>
      </c>
      <c r="L141" s="17"/>
      <c r="M141" s="18">
        <f>РПЗ!O141</f>
        <v>42736</v>
      </c>
      <c r="N141" s="289"/>
      <c r="O141" s="17"/>
      <c r="P141" s="17"/>
      <c r="Q141" s="17"/>
      <c r="R141" s="17"/>
      <c r="S141" s="17"/>
      <c r="T141" s="17"/>
      <c r="U141" s="18">
        <f>РПЗ!P141</f>
        <v>42856</v>
      </c>
      <c r="V141" s="17"/>
      <c r="W141" s="285">
        <f>РПЗ!L141</f>
        <v>3200000</v>
      </c>
      <c r="X141" s="286"/>
      <c r="Y141" s="286"/>
      <c r="Z141" s="300"/>
      <c r="AA141" s="287"/>
      <c r="AB141" s="116"/>
      <c r="AC141" s="17"/>
      <c r="AD141" s="288"/>
      <c r="AE141" s="17"/>
      <c r="AF141" s="287"/>
      <c r="AG141" s="116"/>
      <c r="AH141" s="285" t="str">
        <f>IF(Таблица5[[#This Row],[30]]=0,"НД",Таблица5[[#This Row],[20]]-Таблица5[[#This Row],[30]])</f>
        <v>НД</v>
      </c>
      <c r="AI141" s="693" t="str">
        <f>IF(((1-Таблица5[[#This Row],[30]]/Таблица5[[#This Row],[20]])=1),"НД",(1-Таблица5[[#This Row],[30]]/Таблица5[[#This Row],[20]]))</f>
        <v>НД</v>
      </c>
      <c r="AJ141" s="116"/>
      <c r="AK141" s="116"/>
      <c r="AL141" s="694"/>
      <c r="AM141" s="51"/>
      <c r="AN141" s="288"/>
      <c r="AO141" s="377">
        <f>IF(Таблица5[[#This Row],[11]]=0,,MONTH(Таблица5[[#This Row],[11]]))</f>
        <v>0</v>
      </c>
    </row>
    <row r="142" spans="1:41" ht="80.099999999999994" customHeight="1" x14ac:dyDescent="0.25">
      <c r="A142" s="282" t="str">
        <f t="shared" si="1"/>
        <v>0645-00127</v>
      </c>
      <c r="B142" s="282" t="str">
        <f>РПЗ!$D142</f>
        <v>0645-00127. Поставка черного металлопроката</v>
      </c>
      <c r="C142" s="282" t="str">
        <f>РПЗ!$AA142</f>
        <v>Коммерческий отдел Дорохов Виктор Николаевич +7(812) 532-78-22</v>
      </c>
      <c r="D142" s="15" t="str">
        <f>РПЗ!$AB142</f>
        <v>Заказчик</v>
      </c>
      <c r="E142" s="692"/>
      <c r="F142" s="282" t="str">
        <f>РПЗ!Q142</f>
        <v>ОЗК</v>
      </c>
      <c r="G142" s="287"/>
      <c r="H142" s="287" t="str">
        <f>РПЗ!R142</f>
        <v>Да</v>
      </c>
      <c r="I142" s="15" t="str">
        <f>РПЗ!W142</f>
        <v>не применимо</v>
      </c>
      <c r="J142" s="282" t="str">
        <f>РПЗ!X142</f>
        <v>не применимо</v>
      </c>
      <c r="K142" s="336" t="str">
        <f>РПЗ!Z142</f>
        <v>не применимо</v>
      </c>
      <c r="L142" s="17"/>
      <c r="M142" s="18">
        <f>РПЗ!O142</f>
        <v>42887</v>
      </c>
      <c r="N142" s="289"/>
      <c r="O142" s="17"/>
      <c r="P142" s="17"/>
      <c r="Q142" s="17"/>
      <c r="R142" s="17"/>
      <c r="S142" s="17"/>
      <c r="T142" s="17"/>
      <c r="U142" s="18">
        <f>РПЗ!P142</f>
        <v>43040</v>
      </c>
      <c r="V142" s="17"/>
      <c r="W142" s="285">
        <f>РПЗ!L142</f>
        <v>3000000</v>
      </c>
      <c r="X142" s="286"/>
      <c r="Y142" s="286"/>
      <c r="Z142" s="300"/>
      <c r="AA142" s="287"/>
      <c r="AB142" s="116"/>
      <c r="AC142" s="17"/>
      <c r="AD142" s="288"/>
      <c r="AE142" s="17"/>
      <c r="AF142" s="287"/>
      <c r="AG142" s="116"/>
      <c r="AH142" s="285" t="str">
        <f>IF(Таблица5[[#This Row],[30]]=0,"НД",Таблица5[[#This Row],[20]]-Таблица5[[#This Row],[30]])</f>
        <v>НД</v>
      </c>
      <c r="AI142" s="693" t="str">
        <f>IF(((1-Таблица5[[#This Row],[30]]/Таблица5[[#This Row],[20]])=1),"НД",(1-Таблица5[[#This Row],[30]]/Таблица5[[#This Row],[20]]))</f>
        <v>НД</v>
      </c>
      <c r="AJ142" s="116"/>
      <c r="AK142" s="116"/>
      <c r="AL142" s="694"/>
      <c r="AM142" s="51"/>
      <c r="AN142" s="288"/>
      <c r="AO142" s="377">
        <f>IF(Таблица5[[#This Row],[11]]=0,,MONTH(Таблица5[[#This Row],[11]]))</f>
        <v>0</v>
      </c>
    </row>
    <row r="143" spans="1:41" ht="80.099999999999994" customHeight="1" x14ac:dyDescent="0.25">
      <c r="A143" s="282" t="str">
        <f t="shared" si="1"/>
        <v>0645-00128</v>
      </c>
      <c r="B143" s="282" t="str">
        <f>РПЗ!$D143</f>
        <v xml:space="preserve"> 0645-00128. Поставка цветного металлопроката</v>
      </c>
      <c r="C143" s="282" t="str">
        <f>РПЗ!$AA143</f>
        <v>Коммерческий отдел Дорохов Виктор Николаевич +7(812) 532-78-22</v>
      </c>
      <c r="D143" s="15" t="str">
        <f>РПЗ!$AB143</f>
        <v>Заказчик</v>
      </c>
      <c r="E143" s="692"/>
      <c r="F143" s="282" t="str">
        <f>РПЗ!Q143</f>
        <v>ОЗК</v>
      </c>
      <c r="G143" s="287"/>
      <c r="H143" s="287" t="str">
        <f>РПЗ!R143</f>
        <v>Да</v>
      </c>
      <c r="I143" s="15" t="str">
        <f>РПЗ!W143</f>
        <v>не применимо</v>
      </c>
      <c r="J143" s="282" t="str">
        <f>РПЗ!X143</f>
        <v>не применимо</v>
      </c>
      <c r="K143" s="336" t="str">
        <f>РПЗ!Z143</f>
        <v>не применимо</v>
      </c>
      <c r="L143" s="17"/>
      <c r="M143" s="18">
        <f>РПЗ!O143</f>
        <v>42736</v>
      </c>
      <c r="N143" s="289"/>
      <c r="O143" s="17"/>
      <c r="P143" s="17"/>
      <c r="Q143" s="17"/>
      <c r="R143" s="17"/>
      <c r="S143" s="17"/>
      <c r="T143" s="17"/>
      <c r="U143" s="18">
        <f>РПЗ!P143</f>
        <v>42856</v>
      </c>
      <c r="V143" s="17"/>
      <c r="W143" s="285">
        <f>РПЗ!L143</f>
        <v>2000000</v>
      </c>
      <c r="X143" s="286"/>
      <c r="Y143" s="286"/>
      <c r="Z143" s="300"/>
      <c r="AA143" s="287"/>
      <c r="AB143" s="116"/>
      <c r="AC143" s="17"/>
      <c r="AD143" s="288"/>
      <c r="AE143" s="17"/>
      <c r="AF143" s="287"/>
      <c r="AG143" s="116"/>
      <c r="AH143" s="285" t="str">
        <f>IF(Таблица5[[#This Row],[30]]=0,"НД",Таблица5[[#This Row],[20]]-Таблица5[[#This Row],[30]])</f>
        <v>НД</v>
      </c>
      <c r="AI143" s="693" t="str">
        <f>IF(((1-Таблица5[[#This Row],[30]]/Таблица5[[#This Row],[20]])=1),"НД",(1-Таблица5[[#This Row],[30]]/Таблица5[[#This Row],[20]]))</f>
        <v>НД</v>
      </c>
      <c r="AJ143" s="116"/>
      <c r="AK143" s="116"/>
      <c r="AL143" s="694"/>
      <c r="AM143" s="51"/>
      <c r="AN143" s="288"/>
      <c r="AO143" s="377">
        <f>IF(Таблица5[[#This Row],[11]]=0,,MONTH(Таблица5[[#This Row],[11]]))</f>
        <v>0</v>
      </c>
    </row>
    <row r="144" spans="1:41" ht="80.099999999999994" customHeight="1" x14ac:dyDescent="0.25">
      <c r="A144" s="282" t="str">
        <f t="shared" ref="A144:A207" si="2">INDEX(Диапазон1,ROW(), COLUMN())</f>
        <v>0645-00129</v>
      </c>
      <c r="B144" s="282" t="str">
        <f>РПЗ!$D144</f>
        <v>0645-00129. Поставка цветного металлопроката</v>
      </c>
      <c r="C144" s="282" t="str">
        <f>РПЗ!$AA144</f>
        <v>Коммерческий отдел Дорохов Виктор Николаевич +7(812) 532-78-22</v>
      </c>
      <c r="D144" s="15" t="str">
        <f>РПЗ!$AB144</f>
        <v>Заказчик</v>
      </c>
      <c r="E144" s="692"/>
      <c r="F144" s="282" t="str">
        <f>РПЗ!Q144</f>
        <v>ОЗК</v>
      </c>
      <c r="G144" s="287"/>
      <c r="H144" s="287" t="str">
        <f>РПЗ!R144</f>
        <v>Да</v>
      </c>
      <c r="I144" s="15" t="str">
        <f>РПЗ!W144</f>
        <v>не применимо</v>
      </c>
      <c r="J144" s="282" t="str">
        <f>РПЗ!X144</f>
        <v>не применимо</v>
      </c>
      <c r="K144" s="336" t="str">
        <f>РПЗ!Z144</f>
        <v>не применимо</v>
      </c>
      <c r="L144" s="17"/>
      <c r="M144" s="18">
        <f>РПЗ!O144</f>
        <v>42887</v>
      </c>
      <c r="N144" s="289"/>
      <c r="O144" s="17"/>
      <c r="P144" s="17"/>
      <c r="Q144" s="17"/>
      <c r="R144" s="17"/>
      <c r="S144" s="17"/>
      <c r="T144" s="17"/>
      <c r="U144" s="18">
        <f>РПЗ!P144</f>
        <v>43040</v>
      </c>
      <c r="V144" s="17"/>
      <c r="W144" s="285">
        <f>РПЗ!L144</f>
        <v>2500000</v>
      </c>
      <c r="X144" s="286"/>
      <c r="Y144" s="286"/>
      <c r="Z144" s="300"/>
      <c r="AA144" s="287"/>
      <c r="AB144" s="116"/>
      <c r="AC144" s="17"/>
      <c r="AD144" s="288"/>
      <c r="AE144" s="17"/>
      <c r="AF144" s="287"/>
      <c r="AG144" s="116"/>
      <c r="AH144" s="285" t="str">
        <f>IF(Таблица5[[#This Row],[30]]=0,"НД",Таблица5[[#This Row],[20]]-Таблица5[[#This Row],[30]])</f>
        <v>НД</v>
      </c>
      <c r="AI144" s="693" t="str">
        <f>IF(((1-Таблица5[[#This Row],[30]]/Таблица5[[#This Row],[20]])=1),"НД",(1-Таблица5[[#This Row],[30]]/Таблица5[[#This Row],[20]]))</f>
        <v>НД</v>
      </c>
      <c r="AJ144" s="116"/>
      <c r="AK144" s="116"/>
      <c r="AL144" s="694"/>
      <c r="AM144" s="51"/>
      <c r="AN144" s="288"/>
      <c r="AO144" s="377">
        <f>IF(Таблица5[[#This Row],[11]]=0,,MONTH(Таблица5[[#This Row],[11]]))</f>
        <v>0</v>
      </c>
    </row>
    <row r="145" spans="1:41" ht="80.099999999999994" customHeight="1" x14ac:dyDescent="0.25">
      <c r="A145" s="282" t="str">
        <f t="shared" si="2"/>
        <v>0645-00130</v>
      </c>
      <c r="B145" s="282" t="str">
        <f>РПЗ!$D145</f>
        <v>0645-00130.  Поставка спецодежды</v>
      </c>
      <c r="C145" s="282" t="str">
        <f>РПЗ!$AA145</f>
        <v>Коммерческий отдел Дорохов Виктор Николаевич +7(812) 532-78-22</v>
      </c>
      <c r="D145" s="15" t="str">
        <f>РПЗ!$AB145</f>
        <v>Заказчик</v>
      </c>
      <c r="E145" s="692"/>
      <c r="F145" s="282" t="str">
        <f>РПЗ!Q145</f>
        <v>ОЗК</v>
      </c>
      <c r="G145" s="287"/>
      <c r="H145" s="287" t="str">
        <f>РПЗ!R145</f>
        <v>Да</v>
      </c>
      <c r="I145" s="15" t="str">
        <f>РПЗ!W145</f>
        <v>не применимо</v>
      </c>
      <c r="J145" s="282" t="str">
        <f>РПЗ!X145</f>
        <v>не применимо</v>
      </c>
      <c r="K145" s="336" t="str">
        <f>РПЗ!Z145</f>
        <v>не применимо</v>
      </c>
      <c r="L145" s="17"/>
      <c r="M145" s="18">
        <f>РПЗ!O145</f>
        <v>42736</v>
      </c>
      <c r="N145" s="289"/>
      <c r="O145" s="17"/>
      <c r="P145" s="17"/>
      <c r="Q145" s="17"/>
      <c r="R145" s="17"/>
      <c r="S145" s="17"/>
      <c r="T145" s="17"/>
      <c r="U145" s="18">
        <f>РПЗ!P145</f>
        <v>42856</v>
      </c>
      <c r="V145" s="17"/>
      <c r="W145" s="285">
        <f>РПЗ!L145</f>
        <v>1100000</v>
      </c>
      <c r="X145" s="286"/>
      <c r="Y145" s="286"/>
      <c r="Z145" s="300"/>
      <c r="AA145" s="287"/>
      <c r="AB145" s="116"/>
      <c r="AC145" s="17"/>
      <c r="AD145" s="288"/>
      <c r="AE145" s="17"/>
      <c r="AF145" s="287"/>
      <c r="AG145" s="116"/>
      <c r="AH145" s="285" t="str">
        <f>IF(Таблица5[[#This Row],[30]]=0,"НД",Таблица5[[#This Row],[20]]-Таблица5[[#This Row],[30]])</f>
        <v>НД</v>
      </c>
      <c r="AI145" s="693" t="str">
        <f>IF(((1-Таблица5[[#This Row],[30]]/Таблица5[[#This Row],[20]])=1),"НД",(1-Таблица5[[#This Row],[30]]/Таблица5[[#This Row],[20]]))</f>
        <v>НД</v>
      </c>
      <c r="AJ145" s="116"/>
      <c r="AK145" s="116"/>
      <c r="AL145" s="694"/>
      <c r="AM145" s="51"/>
      <c r="AN145" s="288"/>
      <c r="AO145" s="377">
        <f>IF(Таблица5[[#This Row],[11]]=0,,MONTH(Таблица5[[#This Row],[11]]))</f>
        <v>0</v>
      </c>
    </row>
    <row r="146" spans="1:41" ht="80.099999999999994" customHeight="1" x14ac:dyDescent="0.25">
      <c r="A146" s="282" t="str">
        <f t="shared" si="2"/>
        <v>0645-00131</v>
      </c>
      <c r="B146" s="282" t="str">
        <f>РПЗ!$D146</f>
        <v xml:space="preserve"> 0645-00131. Поставка спецодежды</v>
      </c>
      <c r="C146" s="282" t="str">
        <f>РПЗ!$AA146</f>
        <v>Коммерческий отдел Дорохов Виктор Николаевич +7(812) 532-78-22</v>
      </c>
      <c r="D146" s="15" t="str">
        <f>РПЗ!$AB146</f>
        <v>Заказчик</v>
      </c>
      <c r="E146" s="692"/>
      <c r="F146" s="282" t="str">
        <f>РПЗ!Q146</f>
        <v>ОЗК</v>
      </c>
      <c r="G146" s="287"/>
      <c r="H146" s="287" t="str">
        <f>РПЗ!R146</f>
        <v>Да</v>
      </c>
      <c r="I146" s="15" t="str">
        <f>РПЗ!W146</f>
        <v>не применимо</v>
      </c>
      <c r="J146" s="282" t="str">
        <f>РПЗ!X146</f>
        <v>не применимо</v>
      </c>
      <c r="K146" s="336" t="str">
        <f>РПЗ!Z146</f>
        <v>не применимо</v>
      </c>
      <c r="L146" s="17"/>
      <c r="M146" s="18">
        <f>РПЗ!O146</f>
        <v>42948</v>
      </c>
      <c r="N146" s="289"/>
      <c r="O146" s="17"/>
      <c r="P146" s="17"/>
      <c r="Q146" s="17"/>
      <c r="R146" s="17"/>
      <c r="S146" s="17"/>
      <c r="T146" s="17"/>
      <c r="U146" s="18">
        <f>РПЗ!P146</f>
        <v>43070</v>
      </c>
      <c r="V146" s="17"/>
      <c r="W146" s="285">
        <f>РПЗ!L146</f>
        <v>800000</v>
      </c>
      <c r="X146" s="286"/>
      <c r="Y146" s="286"/>
      <c r="Z146" s="300"/>
      <c r="AA146" s="287"/>
      <c r="AB146" s="116"/>
      <c r="AC146" s="17"/>
      <c r="AD146" s="288"/>
      <c r="AE146" s="17"/>
      <c r="AF146" s="287"/>
      <c r="AG146" s="116"/>
      <c r="AH146" s="285" t="str">
        <f>IF(Таблица5[[#This Row],[30]]=0,"НД",Таблица5[[#This Row],[20]]-Таблица5[[#This Row],[30]])</f>
        <v>НД</v>
      </c>
      <c r="AI146" s="693" t="str">
        <f>IF(((1-Таблица5[[#This Row],[30]]/Таблица5[[#This Row],[20]])=1),"НД",(1-Таблица5[[#This Row],[30]]/Таблица5[[#This Row],[20]]))</f>
        <v>НД</v>
      </c>
      <c r="AJ146" s="116"/>
      <c r="AK146" s="116"/>
      <c r="AL146" s="694"/>
      <c r="AM146" s="51"/>
      <c r="AN146" s="288"/>
      <c r="AO146" s="377">
        <f>IF(Таблица5[[#This Row],[11]]=0,,MONTH(Таблица5[[#This Row],[11]]))</f>
        <v>0</v>
      </c>
    </row>
    <row r="147" spans="1:41" ht="80.099999999999994" customHeight="1" x14ac:dyDescent="0.25">
      <c r="A147" s="282" t="str">
        <f t="shared" si="2"/>
        <v>0645-00132</v>
      </c>
      <c r="B147" s="282" t="str">
        <f>РПЗ!$D147</f>
        <v>0645-00132. Приобретение проездных билетов на электронных носителях</v>
      </c>
      <c r="C147" s="282" t="str">
        <f>РПЗ!$AA147</f>
        <v>Коммерческий отдел Дорохов Виктор Николаевич +7(812) 532-78-22</v>
      </c>
      <c r="D147" s="15" t="str">
        <f>РПЗ!$AB147</f>
        <v>Заказчик</v>
      </c>
      <c r="E147" s="692"/>
      <c r="F147" s="282" t="str">
        <f>РПЗ!Q147</f>
        <v>ЕП</v>
      </c>
      <c r="G147" s="287"/>
      <c r="H147" s="287" t="str">
        <f>РПЗ!R147</f>
        <v>Нет</v>
      </c>
      <c r="I147" s="15" t="str">
        <f>РПЗ!W147</f>
        <v>6.6.2(1)</v>
      </c>
      <c r="J147" s="282">
        <f>РПЗ!X147</f>
        <v>7830000970</v>
      </c>
      <c r="K147" s="336">
        <f>РПЗ!Z147</f>
        <v>968600</v>
      </c>
      <c r="L147" s="17"/>
      <c r="M147" s="18">
        <f>РПЗ!O147</f>
        <v>42736</v>
      </c>
      <c r="N147" s="289"/>
      <c r="O147" s="17"/>
      <c r="P147" s="17"/>
      <c r="Q147" s="17"/>
      <c r="R147" s="17"/>
      <c r="S147" s="17"/>
      <c r="T147" s="17"/>
      <c r="U147" s="18">
        <f>РПЗ!P147</f>
        <v>43070</v>
      </c>
      <c r="V147" s="17"/>
      <c r="W147" s="285">
        <f>РПЗ!L147</f>
        <v>968600</v>
      </c>
      <c r="X147" s="286"/>
      <c r="Y147" s="286"/>
      <c r="Z147" s="300"/>
      <c r="AA147" s="287"/>
      <c r="AB147" s="116"/>
      <c r="AC147" s="17"/>
      <c r="AD147" s="288"/>
      <c r="AE147" s="17"/>
      <c r="AF147" s="287"/>
      <c r="AG147" s="116"/>
      <c r="AH147" s="285" t="str">
        <f>IF(Таблица5[[#This Row],[30]]=0,"НД",Таблица5[[#This Row],[20]]-Таблица5[[#This Row],[30]])</f>
        <v>НД</v>
      </c>
      <c r="AI147" s="693" t="str">
        <f>IF(((1-Таблица5[[#This Row],[30]]/Таблица5[[#This Row],[20]])=1),"НД",(1-Таблица5[[#This Row],[30]]/Таблица5[[#This Row],[20]]))</f>
        <v>НД</v>
      </c>
      <c r="AJ147" s="116"/>
      <c r="AK147" s="116"/>
      <c r="AL147" s="694"/>
      <c r="AM147" s="51"/>
      <c r="AN147" s="288"/>
      <c r="AO147" s="377">
        <f>IF(Таблица5[[#This Row],[11]]=0,,MONTH(Таблица5[[#This Row],[11]]))</f>
        <v>0</v>
      </c>
    </row>
    <row r="148" spans="1:41" ht="80.099999999999994" customHeight="1" x14ac:dyDescent="0.25">
      <c r="A148" s="282" t="str">
        <f t="shared" si="2"/>
        <v>0645-00133</v>
      </c>
      <c r="B148" s="282" t="str">
        <f>РПЗ!$D148</f>
        <v>0645-00133. 00Оказание услуг по проведению обязательного ежегодного аудита бухгалтерской (финансовой) отчетности АО «НПО «Импульс» за 2017 год.</v>
      </c>
      <c r="C148" s="282" t="str">
        <f>РПЗ!$AA148</f>
        <v>Бухгалтерия Сован Т.И. 596-58-20</v>
      </c>
      <c r="D148" s="15" t="str">
        <f>РПЗ!$AB148</f>
        <v>Заказчик</v>
      </c>
      <c r="E148" s="692"/>
      <c r="F148" s="282" t="str">
        <f>РПЗ!Q148</f>
        <v>ОК</v>
      </c>
      <c r="G148" s="287"/>
      <c r="H148" s="287" t="str">
        <f>РПЗ!R148</f>
        <v>Да</v>
      </c>
      <c r="I148" s="15" t="str">
        <f>РПЗ!W148</f>
        <v>Не применимо</v>
      </c>
      <c r="J148" s="282" t="str">
        <f>РПЗ!X148</f>
        <v>Не применимо</v>
      </c>
      <c r="K148" s="336" t="str">
        <f>РПЗ!Z148</f>
        <v>Не применимо</v>
      </c>
      <c r="L148" s="17"/>
      <c r="M148" s="18">
        <f>РПЗ!O148</f>
        <v>42795</v>
      </c>
      <c r="N148" s="289"/>
      <c r="O148" s="17"/>
      <c r="P148" s="17"/>
      <c r="Q148" s="17"/>
      <c r="R148" s="17"/>
      <c r="S148" s="17"/>
      <c r="T148" s="17"/>
      <c r="U148" s="18">
        <f>РПЗ!P148</f>
        <v>43132</v>
      </c>
      <c r="V148" s="17"/>
      <c r="W148" s="285">
        <f>РПЗ!L148</f>
        <v>2000000</v>
      </c>
      <c r="X148" s="286"/>
      <c r="Y148" s="286"/>
      <c r="Z148" s="300"/>
      <c r="AA148" s="287"/>
      <c r="AB148" s="116"/>
      <c r="AC148" s="17"/>
      <c r="AD148" s="288"/>
      <c r="AE148" s="17"/>
      <c r="AF148" s="287"/>
      <c r="AG148" s="116"/>
      <c r="AH148" s="285" t="str">
        <f>IF(Таблица5[[#This Row],[30]]=0,"НД",Таблица5[[#This Row],[20]]-Таблица5[[#This Row],[30]])</f>
        <v>НД</v>
      </c>
      <c r="AI148" s="693" t="str">
        <f>IF(((1-Таблица5[[#This Row],[30]]/Таблица5[[#This Row],[20]])=1),"НД",(1-Таблица5[[#This Row],[30]]/Таблица5[[#This Row],[20]]))</f>
        <v>НД</v>
      </c>
      <c r="AJ148" s="116"/>
      <c r="AK148" s="116"/>
      <c r="AL148" s="694"/>
      <c r="AM148" s="51"/>
      <c r="AN148" s="288"/>
      <c r="AO148" s="377">
        <f>IF(Таблица5[[#This Row],[11]]=0,,MONTH(Таблица5[[#This Row],[11]]))</f>
        <v>0</v>
      </c>
    </row>
    <row r="149" spans="1:41" ht="80.099999999999994" customHeight="1" x14ac:dyDescent="0.25">
      <c r="A149" s="282" t="str">
        <f t="shared" si="2"/>
        <v>0645-00134</v>
      </c>
      <c r="B149" s="282" t="str">
        <f>РПЗ!$D149</f>
        <v>0645-00134. Послевузовское профессиональное образование (обучение в аспирантуре)</v>
      </c>
      <c r="C149" s="282" t="str">
        <f>РПЗ!$AA149</f>
        <v>БПК (Кузевич)</v>
      </c>
      <c r="D149" s="15" t="str">
        <f>РПЗ!$AB149</f>
        <v>Заказчик</v>
      </c>
      <c r="E149" s="692"/>
      <c r="F149" s="282" t="str">
        <f>РПЗ!Q149</f>
        <v>ЕП</v>
      </c>
      <c r="G149" s="287"/>
      <c r="H149" s="287" t="str">
        <f>РПЗ!R149</f>
        <v>Нет</v>
      </c>
      <c r="I149" s="15" t="str">
        <f>РПЗ!W149</f>
        <v>6.6.2(25)</v>
      </c>
      <c r="J149" s="282">
        <f>РПЗ!X149</f>
        <v>7804040077</v>
      </c>
      <c r="K149" s="336">
        <f>РПЗ!Z149</f>
        <v>800000</v>
      </c>
      <c r="L149" s="17"/>
      <c r="M149" s="18">
        <f>РПЗ!O149</f>
        <v>42767</v>
      </c>
      <c r="N149" s="289"/>
      <c r="O149" s="17"/>
      <c r="P149" s="17"/>
      <c r="Q149" s="17"/>
      <c r="R149" s="17"/>
      <c r="S149" s="17"/>
      <c r="T149" s="17"/>
      <c r="U149" s="18">
        <f>РПЗ!P149</f>
        <v>44228</v>
      </c>
      <c r="V149" s="17"/>
      <c r="W149" s="285">
        <f>РПЗ!L149</f>
        <v>320000</v>
      </c>
      <c r="X149" s="286"/>
      <c r="Y149" s="286"/>
      <c r="Z149" s="300"/>
      <c r="AA149" s="287"/>
      <c r="AB149" s="116"/>
      <c r="AC149" s="17"/>
      <c r="AD149" s="288"/>
      <c r="AE149" s="17"/>
      <c r="AF149" s="287"/>
      <c r="AG149" s="116"/>
      <c r="AH149" s="285" t="str">
        <f>IF(Таблица5[[#This Row],[30]]=0,"НД",Таблица5[[#This Row],[20]]-Таблица5[[#This Row],[30]])</f>
        <v>НД</v>
      </c>
      <c r="AI149" s="693" t="str">
        <f>IF(((1-Таблица5[[#This Row],[30]]/Таблица5[[#This Row],[20]])=1),"НД",(1-Таблица5[[#This Row],[30]]/Таблица5[[#This Row],[20]]))</f>
        <v>НД</v>
      </c>
      <c r="AJ149" s="116"/>
      <c r="AK149" s="116"/>
      <c r="AL149" s="694"/>
      <c r="AM149" s="51"/>
      <c r="AN149" s="288"/>
      <c r="AO149" s="377">
        <f>IF(Таблица5[[#This Row],[11]]=0,,MONTH(Таблица5[[#This Row],[11]]))</f>
        <v>0</v>
      </c>
    </row>
    <row r="150" spans="1:41" ht="80.099999999999994" customHeight="1" x14ac:dyDescent="0.25">
      <c r="A150" s="282" t="str">
        <f t="shared" si="2"/>
        <v>0645-00135</v>
      </c>
      <c r="B150" s="282" t="str">
        <f>РПЗ!$D150</f>
        <v>0645-00135. Обучение в образовательных учреждениях высшего профессионального образования (высшее образование, заочная форма обучения)</v>
      </c>
      <c r="C150" s="282" t="str">
        <f>РПЗ!$AA150</f>
        <v>БПК (Кузевич)</v>
      </c>
      <c r="D150" s="15" t="str">
        <f>РПЗ!$AB150</f>
        <v>Заказчик</v>
      </c>
      <c r="E150" s="692"/>
      <c r="F150" s="282" t="str">
        <f>РПЗ!Q150</f>
        <v>ЕП</v>
      </c>
      <c r="G150" s="287"/>
      <c r="H150" s="287" t="str">
        <f>РПЗ!R150</f>
        <v>Нет</v>
      </c>
      <c r="I150" s="15" t="str">
        <f>РПЗ!W150</f>
        <v>6.6.2(25)</v>
      </c>
      <c r="J150" s="282">
        <f>РПЗ!X150</f>
        <v>7804040077</v>
      </c>
      <c r="K150" s="336">
        <f>РПЗ!Z150</f>
        <v>250000</v>
      </c>
      <c r="L150" s="17"/>
      <c r="M150" s="18">
        <f>РПЗ!O150</f>
        <v>42979</v>
      </c>
      <c r="N150" s="289"/>
      <c r="O150" s="17"/>
      <c r="P150" s="17"/>
      <c r="Q150" s="17"/>
      <c r="R150" s="17"/>
      <c r="S150" s="17"/>
      <c r="T150" s="17"/>
      <c r="U150" s="18">
        <f>РПЗ!P150</f>
        <v>44805</v>
      </c>
      <c r="V150" s="17"/>
      <c r="W150" s="285">
        <f>РПЗ!L150</f>
        <v>800000</v>
      </c>
      <c r="X150" s="286"/>
      <c r="Y150" s="286"/>
      <c r="Z150" s="300"/>
      <c r="AA150" s="287"/>
      <c r="AB150" s="116"/>
      <c r="AC150" s="17"/>
      <c r="AD150" s="288"/>
      <c r="AE150" s="17"/>
      <c r="AF150" s="287"/>
      <c r="AG150" s="116"/>
      <c r="AH150" s="285" t="str">
        <f>IF(Таблица5[[#This Row],[30]]=0,"НД",Таблица5[[#This Row],[20]]-Таблица5[[#This Row],[30]])</f>
        <v>НД</v>
      </c>
      <c r="AI150" s="693" t="str">
        <f>IF(((1-Таблица5[[#This Row],[30]]/Таблица5[[#This Row],[20]])=1),"НД",(1-Таблица5[[#This Row],[30]]/Таблица5[[#This Row],[20]]))</f>
        <v>НД</v>
      </c>
      <c r="AJ150" s="116"/>
      <c r="AK150" s="116"/>
      <c r="AL150" s="694"/>
      <c r="AM150" s="51"/>
      <c r="AN150" s="288"/>
      <c r="AO150" s="377">
        <f>IF(Таблица5[[#This Row],[11]]=0,,MONTH(Таблица5[[#This Row],[11]]))</f>
        <v>0</v>
      </c>
    </row>
    <row r="151" spans="1:41" ht="80.099999999999994" customHeight="1" x14ac:dyDescent="0.25">
      <c r="A151" s="282" t="str">
        <f t="shared" si="2"/>
        <v>0645-00136</v>
      </c>
      <c r="B151" s="282" t="str">
        <f>РПЗ!$D151</f>
        <v>0645-00136. Обучение в образовательных учреждениях высшего профессионального образования (высшее образование, очная ускоренная форма обучения после окончания колледжа)</v>
      </c>
      <c r="C151" s="282" t="str">
        <f>РПЗ!$AA151</f>
        <v>БПК (Кузевич)</v>
      </c>
      <c r="D151" s="15" t="str">
        <f>РПЗ!$AB151</f>
        <v>Заказчик</v>
      </c>
      <c r="E151" s="692"/>
      <c r="F151" s="282" t="str">
        <f>РПЗ!Q151</f>
        <v>ЕП</v>
      </c>
      <c r="G151" s="287"/>
      <c r="H151" s="287" t="str">
        <f>РПЗ!R151</f>
        <v>Нет</v>
      </c>
      <c r="I151" s="15" t="str">
        <f>РПЗ!W151</f>
        <v>6.6.2(25)</v>
      </c>
      <c r="J151" s="282">
        <f>РПЗ!X151</f>
        <v>7804040077</v>
      </c>
      <c r="K151" s="336">
        <f>РПЗ!Z151</f>
        <v>160000</v>
      </c>
      <c r="L151" s="17"/>
      <c r="M151" s="18">
        <f>РПЗ!O151</f>
        <v>42979</v>
      </c>
      <c r="N151" s="289"/>
      <c r="O151" s="17"/>
      <c r="P151" s="17"/>
      <c r="Q151" s="17"/>
      <c r="R151" s="17"/>
      <c r="S151" s="17"/>
      <c r="T151" s="17"/>
      <c r="U151" s="18">
        <f>РПЗ!P151</f>
        <v>44075</v>
      </c>
      <c r="V151" s="17"/>
      <c r="W151" s="285">
        <f>РПЗ!L151</f>
        <v>250000</v>
      </c>
      <c r="X151" s="286"/>
      <c r="Y151" s="286"/>
      <c r="Z151" s="300"/>
      <c r="AA151" s="287"/>
      <c r="AB151" s="116"/>
      <c r="AC151" s="17"/>
      <c r="AD151" s="288"/>
      <c r="AE151" s="17"/>
      <c r="AF151" s="287"/>
      <c r="AG151" s="116"/>
      <c r="AH151" s="285" t="str">
        <f>IF(Таблица5[[#This Row],[30]]=0,"НД",Таблица5[[#This Row],[20]]-Таблица5[[#This Row],[30]])</f>
        <v>НД</v>
      </c>
      <c r="AI151" s="693" t="str">
        <f>IF(((1-Таблица5[[#This Row],[30]]/Таблица5[[#This Row],[20]])=1),"НД",(1-Таблица5[[#This Row],[30]]/Таблица5[[#This Row],[20]]))</f>
        <v>НД</v>
      </c>
      <c r="AJ151" s="116"/>
      <c r="AK151" s="116"/>
      <c r="AL151" s="694"/>
      <c r="AM151" s="51"/>
      <c r="AN151" s="288"/>
      <c r="AO151" s="377">
        <f>IF(Таблица5[[#This Row],[11]]=0,,MONTH(Таблица5[[#This Row],[11]]))</f>
        <v>0</v>
      </c>
    </row>
    <row r="152" spans="1:41" ht="80.099999999999994" customHeight="1" x14ac:dyDescent="0.25">
      <c r="A152" s="282" t="str">
        <f t="shared" si="2"/>
        <v>0645-00137</v>
      </c>
      <c r="B152" s="282" t="str">
        <f>РПЗ!$D152</f>
        <v>0645-00137. Обучение в образовательных учреждениях среднего профессионального образования (среднее профессиональное образование, заочная форма обучения)</v>
      </c>
      <c r="C152" s="282" t="str">
        <f>РПЗ!$AA152</f>
        <v>БПК (Кузевич)</v>
      </c>
      <c r="D152" s="15" t="str">
        <f>РПЗ!$AB152</f>
        <v>Заказчик</v>
      </c>
      <c r="E152" s="692"/>
      <c r="F152" s="282" t="str">
        <f>РПЗ!Q152</f>
        <v>ЕП</v>
      </c>
      <c r="G152" s="287"/>
      <c r="H152" s="287" t="str">
        <f>РПЗ!R152</f>
        <v>Нет</v>
      </c>
      <c r="I152" s="15" t="str">
        <f>РПЗ!W152</f>
        <v>6.6.2(25)</v>
      </c>
      <c r="J152" s="282">
        <f>РПЗ!X152</f>
        <v>7804040077</v>
      </c>
      <c r="K152" s="336">
        <f>РПЗ!Z152</f>
        <v>500000</v>
      </c>
      <c r="L152" s="17"/>
      <c r="M152" s="18">
        <f>РПЗ!O152</f>
        <v>42979</v>
      </c>
      <c r="N152" s="289"/>
      <c r="O152" s="17"/>
      <c r="P152" s="17"/>
      <c r="Q152" s="17"/>
      <c r="R152" s="17"/>
      <c r="S152" s="17"/>
      <c r="T152" s="17"/>
      <c r="U152" s="18">
        <f>РПЗ!P152</f>
        <v>44440</v>
      </c>
      <c r="V152" s="17"/>
      <c r="W152" s="285">
        <f>РПЗ!L152</f>
        <v>160000</v>
      </c>
      <c r="X152" s="286"/>
      <c r="Y152" s="286"/>
      <c r="Z152" s="300"/>
      <c r="AA152" s="287"/>
      <c r="AB152" s="116"/>
      <c r="AC152" s="17"/>
      <c r="AD152" s="288"/>
      <c r="AE152" s="17"/>
      <c r="AF152" s="287"/>
      <c r="AG152" s="116"/>
      <c r="AH152" s="285" t="str">
        <f>IF(Таблица5[[#This Row],[30]]=0,"НД",Таблица5[[#This Row],[20]]-Таблица5[[#This Row],[30]])</f>
        <v>НД</v>
      </c>
      <c r="AI152" s="693" t="str">
        <f>IF(((1-Таблица5[[#This Row],[30]]/Таблица5[[#This Row],[20]])=1),"НД",(1-Таблица5[[#This Row],[30]]/Таблица5[[#This Row],[20]]))</f>
        <v>НД</v>
      </c>
      <c r="AJ152" s="116"/>
      <c r="AK152" s="116"/>
      <c r="AL152" s="694"/>
      <c r="AM152" s="51"/>
      <c r="AN152" s="288"/>
      <c r="AO152" s="377">
        <f>IF(Таблица5[[#This Row],[11]]=0,,MONTH(Таблица5[[#This Row],[11]]))</f>
        <v>0</v>
      </c>
    </row>
    <row r="153" spans="1:41" ht="80.099999999999994" customHeight="1" x14ac:dyDescent="0.25">
      <c r="A153" s="282" t="str">
        <f t="shared" si="2"/>
        <v>0645-00138</v>
      </c>
      <c r="B153" s="282" t="str">
        <f>РПЗ!$D153</f>
        <v>0645-00138. Обучение в образовательных учреждениях дополнительного профессионального образования (повышение квалификации)</v>
      </c>
      <c r="C153" s="282" t="str">
        <f>РПЗ!$AA153</f>
        <v>БПК (Кузевич)</v>
      </c>
      <c r="D153" s="15" t="str">
        <f>РПЗ!$AB153</f>
        <v>Заказчик</v>
      </c>
      <c r="E153" s="692"/>
      <c r="F153" s="282" t="str">
        <f>РПЗ!Q153</f>
        <v>ЕП</v>
      </c>
      <c r="G153" s="287"/>
      <c r="H153" s="287" t="str">
        <f>РПЗ!R153</f>
        <v>Нет</v>
      </c>
      <c r="I153" s="15" t="str">
        <f>РПЗ!W153</f>
        <v>6.6.2(25)</v>
      </c>
      <c r="J153" s="282">
        <f>РПЗ!X153</f>
        <v>7804040077</v>
      </c>
      <c r="K153" s="336">
        <f>РПЗ!Z153</f>
        <v>300000</v>
      </c>
      <c r="L153" s="17"/>
      <c r="M153" s="18">
        <f>РПЗ!O153</f>
        <v>42826</v>
      </c>
      <c r="N153" s="289"/>
      <c r="O153" s="17"/>
      <c r="P153" s="17"/>
      <c r="Q153" s="17"/>
      <c r="R153" s="17"/>
      <c r="S153" s="17"/>
      <c r="T153" s="17"/>
      <c r="U153" s="18">
        <f>РПЗ!P153</f>
        <v>43070</v>
      </c>
      <c r="V153" s="17"/>
      <c r="W153" s="285">
        <f>РПЗ!L153</f>
        <v>500000</v>
      </c>
      <c r="X153" s="286"/>
      <c r="Y153" s="286"/>
      <c r="Z153" s="300"/>
      <c r="AA153" s="287"/>
      <c r="AB153" s="116"/>
      <c r="AC153" s="17"/>
      <c r="AD153" s="288"/>
      <c r="AE153" s="17"/>
      <c r="AF153" s="287"/>
      <c r="AG153" s="116"/>
      <c r="AH153" s="285" t="str">
        <f>IF(Таблица5[[#This Row],[30]]=0,"НД",Таблица5[[#This Row],[20]]-Таблица5[[#This Row],[30]])</f>
        <v>НД</v>
      </c>
      <c r="AI153" s="693" t="str">
        <f>IF(((1-Таблица5[[#This Row],[30]]/Таблица5[[#This Row],[20]])=1),"НД",(1-Таблица5[[#This Row],[30]]/Таблица5[[#This Row],[20]]))</f>
        <v>НД</v>
      </c>
      <c r="AJ153" s="116"/>
      <c r="AK153" s="116"/>
      <c r="AL153" s="694"/>
      <c r="AM153" s="51"/>
      <c r="AN153" s="288"/>
      <c r="AO153" s="377">
        <f>IF(Таблица5[[#This Row],[11]]=0,,MONTH(Таблица5[[#This Row],[11]]))</f>
        <v>0</v>
      </c>
    </row>
    <row r="154" spans="1:41" ht="80.099999999999994" customHeight="1" x14ac:dyDescent="0.25">
      <c r="A154" s="282" t="str">
        <f t="shared" si="2"/>
        <v>0645-00139</v>
      </c>
      <c r="B154" s="282" t="str">
        <f>РПЗ!$D154</f>
        <v>0645-00139. Проведение корпоративных мероприятий в рамках молодёжной политики</v>
      </c>
      <c r="C154" s="282" t="str">
        <f>РПЗ!$AA154</f>
        <v>БПК (Кузевич)</v>
      </c>
      <c r="D154" s="15" t="str">
        <f>РПЗ!$AB154</f>
        <v>Заказчик</v>
      </c>
      <c r="E154" s="692"/>
      <c r="F154" s="282" t="str">
        <f>РПЗ!Q154</f>
        <v>ОЗП</v>
      </c>
      <c r="G154" s="287"/>
      <c r="H154" s="287" t="str">
        <f>РПЗ!R154</f>
        <v>Нет</v>
      </c>
      <c r="I154" s="15" t="str">
        <f>РПЗ!W154</f>
        <v>6.6.2(25)</v>
      </c>
      <c r="J154" s="282">
        <f>РПЗ!X154</f>
        <v>7809003047</v>
      </c>
      <c r="K154" s="336" t="str">
        <f>РПЗ!Z154</f>
        <v>не применимо</v>
      </c>
      <c r="L154" s="17"/>
      <c r="M154" s="18">
        <f>РПЗ!O154</f>
        <v>42979</v>
      </c>
      <c r="N154" s="289"/>
      <c r="O154" s="17"/>
      <c r="P154" s="17"/>
      <c r="Q154" s="17"/>
      <c r="R154" s="17"/>
      <c r="S154" s="17"/>
      <c r="T154" s="17"/>
      <c r="U154" s="18">
        <f>РПЗ!P154</f>
        <v>43070</v>
      </c>
      <c r="V154" s="17"/>
      <c r="W154" s="285">
        <f>РПЗ!L154</f>
        <v>300000</v>
      </c>
      <c r="X154" s="286"/>
      <c r="Y154" s="286"/>
      <c r="Z154" s="300"/>
      <c r="AA154" s="287"/>
      <c r="AB154" s="116"/>
      <c r="AC154" s="17"/>
      <c r="AD154" s="288"/>
      <c r="AE154" s="17"/>
      <c r="AF154" s="287"/>
      <c r="AG154" s="116"/>
      <c r="AH154" s="285" t="str">
        <f>IF(Таблица5[[#This Row],[30]]=0,"НД",Таблица5[[#This Row],[20]]-Таблица5[[#This Row],[30]])</f>
        <v>НД</v>
      </c>
      <c r="AI154" s="693" t="str">
        <f>IF(((1-Таблица5[[#This Row],[30]]/Таблица5[[#This Row],[20]])=1),"НД",(1-Таблица5[[#This Row],[30]]/Таблица5[[#This Row],[20]]))</f>
        <v>НД</v>
      </c>
      <c r="AJ154" s="116"/>
      <c r="AK154" s="116"/>
      <c r="AL154" s="694"/>
      <c r="AM154" s="51"/>
      <c r="AN154" s="288"/>
      <c r="AO154" s="377">
        <f>IF(Таблица5[[#This Row],[11]]=0,,MONTH(Таблица5[[#This Row],[11]]))</f>
        <v>0</v>
      </c>
    </row>
    <row r="155" spans="1:41" ht="80.099999999999994" customHeight="1" x14ac:dyDescent="0.25">
      <c r="A155" s="282" t="str">
        <f t="shared" si="2"/>
        <v>0645-00140</v>
      </c>
      <c r="B155" s="282" t="str">
        <f>РПЗ!$D155</f>
        <v>0645-00140. Оказание услуг по организации санитарно-курортный отдых сотрудников</v>
      </c>
      <c r="C155" s="282" t="str">
        <f>РПЗ!$AA155</f>
        <v>СБО(Калугина)</v>
      </c>
      <c r="D155" s="15" t="str">
        <f>РПЗ!$AB155</f>
        <v>Заказчик</v>
      </c>
      <c r="E155" s="692"/>
      <c r="F155" s="282" t="str">
        <f>РПЗ!Q155</f>
        <v>ОЗП</v>
      </c>
      <c r="G155" s="287"/>
      <c r="H155" s="287" t="str">
        <f>РПЗ!R155</f>
        <v xml:space="preserve">да </v>
      </c>
      <c r="I155" s="15" t="str">
        <f>РПЗ!W155</f>
        <v>не применимо</v>
      </c>
      <c r="J155" s="282" t="str">
        <f>РПЗ!X155</f>
        <v>не применимо</v>
      </c>
      <c r="K155" s="336" t="str">
        <f>РПЗ!Z155</f>
        <v>не применимо</v>
      </c>
      <c r="L155" s="17"/>
      <c r="M155" s="18">
        <f>РПЗ!O155</f>
        <v>42795</v>
      </c>
      <c r="N155" s="289"/>
      <c r="O155" s="17"/>
      <c r="P155" s="17"/>
      <c r="Q155" s="17"/>
      <c r="R155" s="17"/>
      <c r="S155" s="17"/>
      <c r="T155" s="17"/>
      <c r="U155" s="18">
        <f>РПЗ!P155</f>
        <v>42979</v>
      </c>
      <c r="V155" s="17"/>
      <c r="W155" s="285">
        <f>РПЗ!L155</f>
        <v>600000</v>
      </c>
      <c r="X155" s="286"/>
      <c r="Y155" s="286"/>
      <c r="Z155" s="300"/>
      <c r="AA155" s="287"/>
      <c r="AB155" s="116"/>
      <c r="AC155" s="17"/>
      <c r="AD155" s="288"/>
      <c r="AE155" s="17"/>
      <c r="AF155" s="287"/>
      <c r="AG155" s="116"/>
      <c r="AH155" s="285" t="str">
        <f>IF(Таблица5[[#This Row],[30]]=0,"НД",Таблица5[[#This Row],[20]]-Таблица5[[#This Row],[30]])</f>
        <v>НД</v>
      </c>
      <c r="AI155" s="693" t="str">
        <f>IF(((1-Таблица5[[#This Row],[30]]/Таблица5[[#This Row],[20]])=1),"НД",(1-Таблица5[[#This Row],[30]]/Таблица5[[#This Row],[20]]))</f>
        <v>НД</v>
      </c>
      <c r="AJ155" s="116"/>
      <c r="AK155" s="116"/>
      <c r="AL155" s="694"/>
      <c r="AM155" s="51"/>
      <c r="AN155" s="288"/>
      <c r="AO155" s="377">
        <f>IF(Таблица5[[#This Row],[11]]=0,,MONTH(Таблица5[[#This Row],[11]]))</f>
        <v>0</v>
      </c>
    </row>
    <row r="156" spans="1:41" ht="80.099999999999994" customHeight="1" x14ac:dyDescent="0.25">
      <c r="A156" s="282" t="str">
        <f t="shared" si="2"/>
        <v>0645-00141</v>
      </c>
      <c r="B156" s="282" t="str">
        <f>РПЗ!$D156</f>
        <v xml:space="preserve">0645-00141. Оказание спортивно-оздоровительных услуг </v>
      </c>
      <c r="C156" s="282" t="str">
        <f>РПЗ!$AA156</f>
        <v>СБО(Калугина)</v>
      </c>
      <c r="D156" s="15" t="str">
        <f>РПЗ!$AB156</f>
        <v>Заказчик</v>
      </c>
      <c r="E156" s="692"/>
      <c r="F156" s="282" t="str">
        <f>РПЗ!Q156</f>
        <v>ОЗП</v>
      </c>
      <c r="G156" s="287"/>
      <c r="H156" s="287" t="str">
        <f>РПЗ!R156</f>
        <v xml:space="preserve">да </v>
      </c>
      <c r="I156" s="15" t="str">
        <f>РПЗ!W156</f>
        <v>не применимо</v>
      </c>
      <c r="J156" s="282" t="str">
        <f>РПЗ!X156</f>
        <v>не применимо</v>
      </c>
      <c r="K156" s="336" t="str">
        <f>РПЗ!Z156</f>
        <v>не применимо</v>
      </c>
      <c r="L156" s="17"/>
      <c r="M156" s="18">
        <f>РПЗ!O156</f>
        <v>42736</v>
      </c>
      <c r="N156" s="289"/>
      <c r="O156" s="17"/>
      <c r="P156" s="17"/>
      <c r="Q156" s="17"/>
      <c r="R156" s="17"/>
      <c r="S156" s="17"/>
      <c r="T156" s="17"/>
      <c r="U156" s="18">
        <f>РПЗ!P156</f>
        <v>43070</v>
      </c>
      <c r="V156" s="17"/>
      <c r="W156" s="285">
        <f>РПЗ!L156</f>
        <v>400000</v>
      </c>
      <c r="X156" s="286"/>
      <c r="Y156" s="286"/>
      <c r="Z156" s="300"/>
      <c r="AA156" s="287"/>
      <c r="AB156" s="116"/>
      <c r="AC156" s="17"/>
      <c r="AD156" s="288"/>
      <c r="AE156" s="17"/>
      <c r="AF156" s="287"/>
      <c r="AG156" s="116"/>
      <c r="AH156" s="285" t="str">
        <f>IF(Таблица5[[#This Row],[30]]=0,"НД",Таблица5[[#This Row],[20]]-Таблица5[[#This Row],[30]])</f>
        <v>НД</v>
      </c>
      <c r="AI156" s="693" t="str">
        <f>IF(((1-Таблица5[[#This Row],[30]]/Таблица5[[#This Row],[20]])=1),"НД",(1-Таблица5[[#This Row],[30]]/Таблица5[[#This Row],[20]]))</f>
        <v>НД</v>
      </c>
      <c r="AJ156" s="116"/>
      <c r="AK156" s="116"/>
      <c r="AL156" s="694"/>
      <c r="AM156" s="51"/>
      <c r="AN156" s="288"/>
      <c r="AO156" s="377">
        <f>IF(Таблица5[[#This Row],[11]]=0,,MONTH(Таблица5[[#This Row],[11]]))</f>
        <v>0</v>
      </c>
    </row>
    <row r="157" spans="1:41" ht="80.099999999999994" customHeight="1" x14ac:dyDescent="0.25">
      <c r="A157" s="282" t="str">
        <f t="shared" si="2"/>
        <v>0645-00142</v>
      </c>
      <c r="B157" s="282" t="str">
        <f>РПЗ!$D157</f>
        <v>0645-00142. Выполнение работ по вывозу снега с территорий подконтрольных АО"НПО"Импульс"</v>
      </c>
      <c r="C157" s="282" t="str">
        <f>РПЗ!$AA157</f>
        <v>СБО(Калугина)</v>
      </c>
      <c r="D157" s="15" t="str">
        <f>РПЗ!$AB157</f>
        <v>Заказчик</v>
      </c>
      <c r="E157" s="692"/>
      <c r="F157" s="282" t="str">
        <f>РПЗ!Q157</f>
        <v>ОЗП</v>
      </c>
      <c r="G157" s="287"/>
      <c r="H157" s="287" t="str">
        <f>РПЗ!R157</f>
        <v xml:space="preserve">да </v>
      </c>
      <c r="I157" s="15" t="str">
        <f>РПЗ!W157</f>
        <v>не применимо</v>
      </c>
      <c r="J157" s="282" t="str">
        <f>РПЗ!X157</f>
        <v>не применимо</v>
      </c>
      <c r="K157" s="336" t="str">
        <f>РПЗ!Z157</f>
        <v>не применимо</v>
      </c>
      <c r="L157" s="17"/>
      <c r="M157" s="18">
        <f>РПЗ!O157</f>
        <v>43040</v>
      </c>
      <c r="N157" s="289"/>
      <c r="O157" s="17"/>
      <c r="P157" s="17"/>
      <c r="Q157" s="17"/>
      <c r="R157" s="17"/>
      <c r="S157" s="17"/>
      <c r="T157" s="17"/>
      <c r="U157" s="18">
        <f>РПЗ!P157</f>
        <v>43101</v>
      </c>
      <c r="V157" s="17"/>
      <c r="W157" s="285">
        <f>РПЗ!L157</f>
        <v>220000</v>
      </c>
      <c r="X157" s="286"/>
      <c r="Y157" s="286"/>
      <c r="Z157" s="300"/>
      <c r="AA157" s="287"/>
      <c r="AB157" s="116"/>
      <c r="AC157" s="17"/>
      <c r="AD157" s="288"/>
      <c r="AE157" s="17"/>
      <c r="AF157" s="287"/>
      <c r="AG157" s="116"/>
      <c r="AH157" s="285" t="str">
        <f>IF(Таблица5[[#This Row],[30]]=0,"НД",Таблица5[[#This Row],[20]]-Таблица5[[#This Row],[30]])</f>
        <v>НД</v>
      </c>
      <c r="AI157" s="693" t="str">
        <f>IF(((1-Таблица5[[#This Row],[30]]/Таблица5[[#This Row],[20]])=1),"НД",(1-Таблица5[[#This Row],[30]]/Таблица5[[#This Row],[20]]))</f>
        <v>НД</v>
      </c>
      <c r="AJ157" s="116"/>
      <c r="AK157" s="116"/>
      <c r="AL157" s="694"/>
      <c r="AM157" s="51"/>
      <c r="AN157" s="288"/>
      <c r="AO157" s="377">
        <f>IF(Таблица5[[#This Row],[11]]=0,,MONTH(Таблица5[[#This Row],[11]]))</f>
        <v>0</v>
      </c>
    </row>
    <row r="158" spans="1:41" ht="80.099999999999994" customHeight="1" x14ac:dyDescent="0.25">
      <c r="A158" s="282" t="str">
        <f t="shared" si="2"/>
        <v>0645-00143</v>
      </c>
      <c r="B158" s="282" t="str">
        <f>РПЗ!$D158</f>
        <v>0645-00143. Оказание услуг по удалению отходов(мусор) с территорий предприятия</v>
      </c>
      <c r="C158" s="282" t="str">
        <f>РПЗ!$AA158</f>
        <v>СБО(Калугина)</v>
      </c>
      <c r="D158" s="15" t="str">
        <f>РПЗ!$AB158</f>
        <v>Заказчик</v>
      </c>
      <c r="E158" s="692"/>
      <c r="F158" s="282" t="str">
        <f>РПЗ!Q158</f>
        <v>ОЗП</v>
      </c>
      <c r="G158" s="287"/>
      <c r="H158" s="287" t="str">
        <f>РПЗ!R158</f>
        <v xml:space="preserve">да </v>
      </c>
      <c r="I158" s="15" t="str">
        <f>РПЗ!W158</f>
        <v>не применимо</v>
      </c>
      <c r="J158" s="282" t="str">
        <f>РПЗ!X158</f>
        <v>не применимо</v>
      </c>
      <c r="K158" s="336" t="str">
        <f>РПЗ!Z158</f>
        <v>не применимо</v>
      </c>
      <c r="L158" s="17"/>
      <c r="M158" s="18">
        <f>РПЗ!O158</f>
        <v>42736</v>
      </c>
      <c r="N158" s="289"/>
      <c r="O158" s="17"/>
      <c r="P158" s="17"/>
      <c r="Q158" s="17"/>
      <c r="R158" s="17"/>
      <c r="S158" s="17"/>
      <c r="T158" s="17"/>
      <c r="U158" s="18">
        <f>РПЗ!P158</f>
        <v>43070</v>
      </c>
      <c r="V158" s="17"/>
      <c r="W158" s="285">
        <f>РПЗ!L158</f>
        <v>1800000</v>
      </c>
      <c r="X158" s="286"/>
      <c r="Y158" s="286"/>
      <c r="Z158" s="300"/>
      <c r="AA158" s="287"/>
      <c r="AB158" s="116"/>
      <c r="AC158" s="17"/>
      <c r="AD158" s="288"/>
      <c r="AE158" s="17"/>
      <c r="AF158" s="287"/>
      <c r="AG158" s="116"/>
      <c r="AH158" s="285" t="str">
        <f>IF(Таблица5[[#This Row],[30]]=0,"НД",Таблица5[[#This Row],[20]]-Таблица5[[#This Row],[30]])</f>
        <v>НД</v>
      </c>
      <c r="AI158" s="693" t="str">
        <f>IF(((1-Таблица5[[#This Row],[30]]/Таблица5[[#This Row],[20]])=1),"НД",(1-Таблица5[[#This Row],[30]]/Таблица5[[#This Row],[20]]))</f>
        <v>НД</v>
      </c>
      <c r="AJ158" s="116"/>
      <c r="AK158" s="116"/>
      <c r="AL158" s="694"/>
      <c r="AM158" s="51"/>
      <c r="AN158" s="288"/>
      <c r="AO158" s="377">
        <f>IF(Таблица5[[#This Row],[11]]=0,,MONTH(Таблица5[[#This Row],[11]]))</f>
        <v>0</v>
      </c>
    </row>
    <row r="159" spans="1:41" ht="80.099999999999994" customHeight="1" x14ac:dyDescent="0.25">
      <c r="A159" s="282" t="str">
        <f t="shared" si="2"/>
        <v>0645-00144</v>
      </c>
      <c r="B159" s="282" t="str">
        <f>РПЗ!$D159</f>
        <v xml:space="preserve">0645-00144. Выполнение работ по профилактической дезинсекции </v>
      </c>
      <c r="C159" s="282" t="str">
        <f>РПЗ!$AA159</f>
        <v>СБО(Калугина)</v>
      </c>
      <c r="D159" s="15" t="str">
        <f>РПЗ!$AB159</f>
        <v>Заказчик</v>
      </c>
      <c r="E159" s="692"/>
      <c r="F159" s="282" t="str">
        <f>РПЗ!Q159</f>
        <v>ОЗП</v>
      </c>
      <c r="G159" s="287"/>
      <c r="H159" s="287" t="str">
        <f>РПЗ!R159</f>
        <v xml:space="preserve">да </v>
      </c>
      <c r="I159" s="15" t="str">
        <f>РПЗ!W159</f>
        <v>не применимо</v>
      </c>
      <c r="J159" s="282" t="str">
        <f>РПЗ!X159</f>
        <v>не применимо</v>
      </c>
      <c r="K159" s="336" t="str">
        <f>РПЗ!Z159</f>
        <v>не применимо</v>
      </c>
      <c r="L159" s="17"/>
      <c r="M159" s="18">
        <f>РПЗ!O159</f>
        <v>42856</v>
      </c>
      <c r="N159" s="289"/>
      <c r="O159" s="17"/>
      <c r="P159" s="17"/>
      <c r="Q159" s="17"/>
      <c r="R159" s="17"/>
      <c r="S159" s="17"/>
      <c r="T159" s="17"/>
      <c r="U159" s="18">
        <f>РПЗ!P159</f>
        <v>43009</v>
      </c>
      <c r="V159" s="17"/>
      <c r="W159" s="285">
        <f>РПЗ!L159</f>
        <v>300000</v>
      </c>
      <c r="X159" s="286"/>
      <c r="Y159" s="286"/>
      <c r="Z159" s="300"/>
      <c r="AA159" s="287"/>
      <c r="AB159" s="116"/>
      <c r="AC159" s="17"/>
      <c r="AD159" s="288"/>
      <c r="AE159" s="17"/>
      <c r="AF159" s="287"/>
      <c r="AG159" s="116"/>
      <c r="AH159" s="285" t="str">
        <f>IF(Таблица5[[#This Row],[30]]=0,"НД",Таблица5[[#This Row],[20]]-Таблица5[[#This Row],[30]])</f>
        <v>НД</v>
      </c>
      <c r="AI159" s="693" t="str">
        <f>IF(((1-Таблица5[[#This Row],[30]]/Таблица5[[#This Row],[20]])=1),"НД",(1-Таблица5[[#This Row],[30]]/Таблица5[[#This Row],[20]]))</f>
        <v>НД</v>
      </c>
      <c r="AJ159" s="116"/>
      <c r="AK159" s="116"/>
      <c r="AL159" s="694"/>
      <c r="AM159" s="51"/>
      <c r="AN159" s="288"/>
      <c r="AO159" s="377">
        <f>IF(Таблица5[[#This Row],[11]]=0,,MONTH(Таблица5[[#This Row],[11]]))</f>
        <v>0</v>
      </c>
    </row>
    <row r="160" spans="1:41" ht="80.099999999999994" customHeight="1" x14ac:dyDescent="0.25">
      <c r="A160" s="282" t="str">
        <f t="shared" si="2"/>
        <v>0645-00145</v>
      </c>
      <c r="B160" s="282" t="str">
        <f>РПЗ!$D160</f>
        <v>0645-00145. Оказание услуг добровольное медицинское страхование сотрудников предприятия</v>
      </c>
      <c r="C160" s="282" t="str">
        <f>РПЗ!$AA160</f>
        <v>СБО(Калугина)</v>
      </c>
      <c r="D160" s="15" t="str">
        <f>РПЗ!$AB160</f>
        <v>ООО"СБ"РТ-Страхование"</v>
      </c>
      <c r="E160" s="692"/>
      <c r="F160" s="282" t="str">
        <f>РПЗ!Q160</f>
        <v>ОЗП</v>
      </c>
      <c r="G160" s="287"/>
      <c r="H160" s="287" t="str">
        <f>РПЗ!R160</f>
        <v>Нет</v>
      </c>
      <c r="I160" s="15" t="str">
        <f>РПЗ!W160</f>
        <v>не применимо</v>
      </c>
      <c r="J160" s="282" t="str">
        <f>РПЗ!X160</f>
        <v>не применимо</v>
      </c>
      <c r="K160" s="336" t="str">
        <f>РПЗ!Z160</f>
        <v>не применимо</v>
      </c>
      <c r="L160" s="17"/>
      <c r="M160" s="18">
        <f>РПЗ!O160</f>
        <v>42887</v>
      </c>
      <c r="N160" s="289"/>
      <c r="O160" s="17"/>
      <c r="P160" s="17"/>
      <c r="Q160" s="17"/>
      <c r="R160" s="17"/>
      <c r="S160" s="17"/>
      <c r="T160" s="17"/>
      <c r="U160" s="18">
        <f>РПЗ!P160</f>
        <v>43252</v>
      </c>
      <c r="V160" s="17"/>
      <c r="W160" s="285">
        <f>РПЗ!L160</f>
        <v>5759300</v>
      </c>
      <c r="X160" s="286"/>
      <c r="Y160" s="286"/>
      <c r="Z160" s="300"/>
      <c r="AA160" s="287"/>
      <c r="AB160" s="116"/>
      <c r="AC160" s="17"/>
      <c r="AD160" s="288"/>
      <c r="AE160" s="17"/>
      <c r="AF160" s="287"/>
      <c r="AG160" s="116"/>
      <c r="AH160" s="285" t="str">
        <f>IF(Таблица5[[#This Row],[30]]=0,"НД",Таблица5[[#This Row],[20]]-Таблица5[[#This Row],[30]])</f>
        <v>НД</v>
      </c>
      <c r="AI160" s="693" t="str">
        <f>IF(((1-Таблица5[[#This Row],[30]]/Таблица5[[#This Row],[20]])=1),"НД",(1-Таблица5[[#This Row],[30]]/Таблица5[[#This Row],[20]]))</f>
        <v>НД</v>
      </c>
      <c r="AJ160" s="116"/>
      <c r="AK160" s="116"/>
      <c r="AL160" s="694"/>
      <c r="AM160" s="51"/>
      <c r="AN160" s="288"/>
      <c r="AO160" s="377">
        <f>IF(Таблица5[[#This Row],[11]]=0,,MONTH(Таблица5[[#This Row],[11]]))</f>
        <v>0</v>
      </c>
    </row>
    <row r="161" spans="1:41" ht="80.099999999999994" customHeight="1" x14ac:dyDescent="0.25">
      <c r="A161" s="282" t="str">
        <f t="shared" si="2"/>
        <v>0645-00146</v>
      </c>
      <c r="B161" s="282" t="str">
        <f>РПЗ!$D161</f>
        <v xml:space="preserve"> 0645-00146. Выполнение работ по разработке и внедрению системы автоматизации финансового блока предприятия на основе 1С ЕКК</v>
      </c>
      <c r="C161" s="282" t="str">
        <f>РПЗ!$AA161</f>
        <v>Служба автоматизации производства Егоров Михаил Валентинович 290-02-07</v>
      </c>
      <c r="D161" s="15" t="str">
        <f>РПЗ!$AB161</f>
        <v>ГК"Ростех"</v>
      </c>
      <c r="E161" s="692"/>
      <c r="F161" s="282" t="str">
        <f>РПЗ!Q161</f>
        <v>ОЗК</v>
      </c>
      <c r="G161" s="287"/>
      <c r="H161" s="287" t="str">
        <f>РПЗ!R161</f>
        <v>Да</v>
      </c>
      <c r="I161" s="15" t="str">
        <f>РПЗ!W161</f>
        <v>Не применимо</v>
      </c>
      <c r="J161" s="282" t="str">
        <f>РПЗ!X161</f>
        <v>Не применимо</v>
      </c>
      <c r="K161" s="336" t="str">
        <f>РПЗ!Z161</f>
        <v>Не применимо</v>
      </c>
      <c r="L161" s="17"/>
      <c r="M161" s="18">
        <f>РПЗ!O161</f>
        <v>42826</v>
      </c>
      <c r="N161" s="289"/>
      <c r="O161" s="17"/>
      <c r="P161" s="17"/>
      <c r="Q161" s="17"/>
      <c r="R161" s="17"/>
      <c r="S161" s="17"/>
      <c r="T161" s="17"/>
      <c r="U161" s="18">
        <f>РПЗ!P161</f>
        <v>43100</v>
      </c>
      <c r="V161" s="17"/>
      <c r="W161" s="285">
        <f>РПЗ!L161</f>
        <v>4800000</v>
      </c>
      <c r="X161" s="286"/>
      <c r="Y161" s="286"/>
      <c r="Z161" s="300"/>
      <c r="AA161" s="287"/>
      <c r="AB161" s="116"/>
      <c r="AC161" s="17"/>
      <c r="AD161" s="288"/>
      <c r="AE161" s="17"/>
      <c r="AF161" s="287"/>
      <c r="AG161" s="116"/>
      <c r="AH161" s="285" t="str">
        <f>IF(Таблица5[[#This Row],[30]]=0,"НД",Таблица5[[#This Row],[20]]-Таблица5[[#This Row],[30]])</f>
        <v>НД</v>
      </c>
      <c r="AI161" s="693" t="str">
        <f>IF(((1-Таблица5[[#This Row],[30]]/Таблица5[[#This Row],[20]])=1),"НД",(1-Таблица5[[#This Row],[30]]/Таблица5[[#This Row],[20]]))</f>
        <v>НД</v>
      </c>
      <c r="AJ161" s="116"/>
      <c r="AK161" s="116"/>
      <c r="AL161" s="694"/>
      <c r="AM161" s="51"/>
      <c r="AN161" s="288"/>
      <c r="AO161" s="377">
        <f>IF(Таблица5[[#This Row],[11]]=0,,MONTH(Таблица5[[#This Row],[11]]))</f>
        <v>0</v>
      </c>
    </row>
    <row r="162" spans="1:41" ht="80.099999999999994" customHeight="1" x14ac:dyDescent="0.25">
      <c r="A162" s="282" t="str">
        <f t="shared" si="2"/>
        <v>0645-00147</v>
      </c>
      <c r="B162" s="282" t="str">
        <f>РПЗ!$D162</f>
        <v xml:space="preserve"> 0645-00147. Выполнение ремонтных работ оргтехники и СВТ</v>
      </c>
      <c r="C162" s="282" t="str">
        <f>РПЗ!$AA162</f>
        <v>Служба автоматизации производства Егоров Михаил Валентинович 290-02-07</v>
      </c>
      <c r="D162" s="15" t="str">
        <f>РПЗ!$AB162</f>
        <v>Заказчик</v>
      </c>
      <c r="E162" s="692"/>
      <c r="F162" s="282" t="str">
        <f>РПЗ!Q162</f>
        <v>ОЗК</v>
      </c>
      <c r="G162" s="287"/>
      <c r="H162" s="287" t="str">
        <f>РПЗ!R162</f>
        <v>Да</v>
      </c>
      <c r="I162" s="15" t="str">
        <f>РПЗ!W162</f>
        <v>Не применимо</v>
      </c>
      <c r="J162" s="282" t="str">
        <f>РПЗ!X162</f>
        <v>Не применимо</v>
      </c>
      <c r="K162" s="336" t="str">
        <f>РПЗ!Z162</f>
        <v>Не применимо</v>
      </c>
      <c r="L162" s="17"/>
      <c r="M162" s="18">
        <f>РПЗ!O162</f>
        <v>42736</v>
      </c>
      <c r="N162" s="289"/>
      <c r="O162" s="17"/>
      <c r="P162" s="17"/>
      <c r="Q162" s="17"/>
      <c r="R162" s="17"/>
      <c r="S162" s="17"/>
      <c r="T162" s="17"/>
      <c r="U162" s="18">
        <f>РПЗ!P162</f>
        <v>43100</v>
      </c>
      <c r="V162" s="17"/>
      <c r="W162" s="285">
        <f>РПЗ!L162</f>
        <v>480000</v>
      </c>
      <c r="X162" s="286"/>
      <c r="Y162" s="286"/>
      <c r="Z162" s="300"/>
      <c r="AA162" s="287"/>
      <c r="AB162" s="116"/>
      <c r="AC162" s="17"/>
      <c r="AD162" s="288"/>
      <c r="AE162" s="17"/>
      <c r="AF162" s="287"/>
      <c r="AG162" s="116"/>
      <c r="AH162" s="285" t="str">
        <f>IF(Таблица5[[#This Row],[30]]=0,"НД",Таблица5[[#This Row],[20]]-Таблица5[[#This Row],[30]])</f>
        <v>НД</v>
      </c>
      <c r="AI162" s="693" t="str">
        <f>IF(((1-Таблица5[[#This Row],[30]]/Таблица5[[#This Row],[20]])=1),"НД",(1-Таблица5[[#This Row],[30]]/Таблица5[[#This Row],[20]]))</f>
        <v>НД</v>
      </c>
      <c r="AJ162" s="116"/>
      <c r="AK162" s="116"/>
      <c r="AL162" s="694"/>
      <c r="AM162" s="51"/>
      <c r="AN162" s="288"/>
      <c r="AO162" s="377">
        <f>IF(Таблица5[[#This Row],[11]]=0,,MONTH(Таблица5[[#This Row],[11]]))</f>
        <v>0</v>
      </c>
    </row>
    <row r="163" spans="1:41" ht="80.099999999999994" customHeight="1" x14ac:dyDescent="0.25">
      <c r="A163" s="282" t="str">
        <f t="shared" si="2"/>
        <v>0645-00148</v>
      </c>
      <c r="B163" s="282" t="str">
        <f>РПЗ!$D163</f>
        <v>0645-00148. Постака новых расходных материалов печати</v>
      </c>
      <c r="C163" s="282" t="str">
        <f>РПЗ!$AA163</f>
        <v>Служба автоматизации производства Егоров Михаил Валентинович 290-02-07</v>
      </c>
      <c r="D163" s="15" t="str">
        <f>РПЗ!$AB163</f>
        <v>ООО "РТ-Информ"</v>
      </c>
      <c r="E163" s="692"/>
      <c r="F163" s="282" t="str">
        <f>РПЗ!Q163</f>
        <v>ОЗК</v>
      </c>
      <c r="G163" s="287"/>
      <c r="H163" s="287" t="str">
        <f>РПЗ!R163</f>
        <v>Да</v>
      </c>
      <c r="I163" s="15" t="str">
        <f>РПЗ!W163</f>
        <v>Не применимо</v>
      </c>
      <c r="J163" s="282" t="str">
        <f>РПЗ!X163</f>
        <v>Не применимо</v>
      </c>
      <c r="K163" s="336" t="str">
        <f>РПЗ!Z163</f>
        <v>Не применимо</v>
      </c>
      <c r="L163" s="17"/>
      <c r="M163" s="18">
        <f>РПЗ!O163</f>
        <v>42736</v>
      </c>
      <c r="N163" s="289"/>
      <c r="O163" s="17"/>
      <c r="P163" s="17"/>
      <c r="Q163" s="17"/>
      <c r="R163" s="17"/>
      <c r="S163" s="17"/>
      <c r="T163" s="17"/>
      <c r="U163" s="18">
        <f>РПЗ!P163</f>
        <v>43100</v>
      </c>
      <c r="V163" s="17"/>
      <c r="W163" s="285">
        <f>РПЗ!L163</f>
        <v>1080000</v>
      </c>
      <c r="X163" s="286"/>
      <c r="Y163" s="286"/>
      <c r="Z163" s="300"/>
      <c r="AA163" s="287"/>
      <c r="AB163" s="116"/>
      <c r="AC163" s="17"/>
      <c r="AD163" s="288"/>
      <c r="AE163" s="17"/>
      <c r="AF163" s="287"/>
      <c r="AG163" s="116"/>
      <c r="AH163" s="285" t="str">
        <f>IF(Таблица5[[#This Row],[30]]=0,"НД",Таблица5[[#This Row],[20]]-Таблица5[[#This Row],[30]])</f>
        <v>НД</v>
      </c>
      <c r="AI163" s="693" t="str">
        <f>IF(((1-Таблица5[[#This Row],[30]]/Таблица5[[#This Row],[20]])=1),"НД",(1-Таблица5[[#This Row],[30]]/Таблица5[[#This Row],[20]]))</f>
        <v>НД</v>
      </c>
      <c r="AJ163" s="116"/>
      <c r="AK163" s="116"/>
      <c r="AL163" s="694"/>
      <c r="AM163" s="51"/>
      <c r="AN163" s="288"/>
      <c r="AO163" s="377">
        <f>IF(Таблица5[[#This Row],[11]]=0,,MONTH(Таблица5[[#This Row],[11]]))</f>
        <v>0</v>
      </c>
    </row>
    <row r="164" spans="1:41" ht="80.099999999999994" customHeight="1" x14ac:dyDescent="0.25">
      <c r="A164" s="282" t="str">
        <f t="shared" si="2"/>
        <v>0645-00149</v>
      </c>
      <c r="B164" s="282" t="str">
        <f>РПЗ!$D164</f>
        <v>0645-00149. Поставка автоматизированных рабочих мест</v>
      </c>
      <c r="C164" s="282" t="str">
        <f>РПЗ!$AA164</f>
        <v>Служба автоматизации производства Егоров Михаил Валентинович 290-02-07</v>
      </c>
      <c r="D164" s="15" t="str">
        <f>РПЗ!$AB164</f>
        <v>Заказчик</v>
      </c>
      <c r="E164" s="692"/>
      <c r="F164" s="282" t="str">
        <f>РПЗ!Q164</f>
        <v>ОЗК</v>
      </c>
      <c r="G164" s="287"/>
      <c r="H164" s="287" t="str">
        <f>РПЗ!R164</f>
        <v>Да</v>
      </c>
      <c r="I164" s="15" t="str">
        <f>РПЗ!W164</f>
        <v>Не применимо</v>
      </c>
      <c r="J164" s="282" t="str">
        <f>РПЗ!X164</f>
        <v>Не применимо</v>
      </c>
      <c r="K164" s="336" t="str">
        <f>РПЗ!Z164</f>
        <v>Не применимо</v>
      </c>
      <c r="L164" s="17"/>
      <c r="M164" s="18">
        <f>РПЗ!O164</f>
        <v>42736</v>
      </c>
      <c r="N164" s="289"/>
      <c r="O164" s="17"/>
      <c r="P164" s="17"/>
      <c r="Q164" s="17"/>
      <c r="R164" s="17"/>
      <c r="S164" s="17"/>
      <c r="T164" s="17"/>
      <c r="U164" s="18">
        <f>РПЗ!P164</f>
        <v>43100</v>
      </c>
      <c r="V164" s="17"/>
      <c r="W164" s="285">
        <f>РПЗ!L164</f>
        <v>210000</v>
      </c>
      <c r="X164" s="286"/>
      <c r="Y164" s="286"/>
      <c r="Z164" s="300"/>
      <c r="AA164" s="287"/>
      <c r="AB164" s="116"/>
      <c r="AC164" s="17"/>
      <c r="AD164" s="288"/>
      <c r="AE164" s="17"/>
      <c r="AF164" s="287"/>
      <c r="AG164" s="116"/>
      <c r="AH164" s="285" t="str">
        <f>IF(Таблица5[[#This Row],[30]]=0,"НД",Таблица5[[#This Row],[20]]-Таблица5[[#This Row],[30]])</f>
        <v>НД</v>
      </c>
      <c r="AI164" s="693" t="str">
        <f>IF(((1-Таблица5[[#This Row],[30]]/Таблица5[[#This Row],[20]])=1),"НД",(1-Таблица5[[#This Row],[30]]/Таблица5[[#This Row],[20]]))</f>
        <v>НД</v>
      </c>
      <c r="AJ164" s="116"/>
      <c r="AK164" s="116"/>
      <c r="AL164" s="694"/>
      <c r="AM164" s="51"/>
      <c r="AN164" s="288"/>
      <c r="AO164" s="377">
        <f>IF(Таблица5[[#This Row],[11]]=0,,MONTH(Таблица5[[#This Row],[11]]))</f>
        <v>0</v>
      </c>
    </row>
    <row r="165" spans="1:41" ht="80.099999999999994" customHeight="1" x14ac:dyDescent="0.25">
      <c r="A165" s="282" t="str">
        <f t="shared" si="2"/>
        <v>0645-00150</v>
      </c>
      <c r="B165" s="282" t="str">
        <f>РПЗ!$D165</f>
        <v>0645-00150. Поставка и сопровождение общесистемного, инфраструктурного ПО (системы контроля обслуживания службы технической поддержки)</v>
      </c>
      <c r="C165" s="282" t="str">
        <f>РПЗ!$AA165</f>
        <v>Служба автоматизации производства Егоров Михаил Валентинович 290-02-07</v>
      </c>
      <c r="D165" s="15" t="str">
        <f>РПЗ!$AB165</f>
        <v>Заказчик</v>
      </c>
      <c r="E165" s="692"/>
      <c r="F165" s="282" t="str">
        <f>РПЗ!Q165</f>
        <v>ОЗК</v>
      </c>
      <c r="G165" s="287"/>
      <c r="H165" s="287" t="str">
        <f>РПЗ!R165</f>
        <v>Да</v>
      </c>
      <c r="I165" s="15" t="str">
        <f>РПЗ!W165</f>
        <v>Не применимо</v>
      </c>
      <c r="J165" s="282" t="str">
        <f>РПЗ!X165</f>
        <v>Не применимо</v>
      </c>
      <c r="K165" s="336" t="str">
        <f>РПЗ!Z165</f>
        <v>Не применимо</v>
      </c>
      <c r="L165" s="17"/>
      <c r="M165" s="18">
        <f>РПЗ!O165</f>
        <v>42736</v>
      </c>
      <c r="N165" s="289"/>
      <c r="O165" s="17"/>
      <c r="P165" s="17"/>
      <c r="Q165" s="17"/>
      <c r="R165" s="17"/>
      <c r="S165" s="17"/>
      <c r="T165" s="17"/>
      <c r="U165" s="18">
        <f>РПЗ!P165</f>
        <v>43100</v>
      </c>
      <c r="V165" s="17"/>
      <c r="W165" s="285">
        <f>РПЗ!L165</f>
        <v>200000</v>
      </c>
      <c r="X165" s="286"/>
      <c r="Y165" s="286"/>
      <c r="Z165" s="300"/>
      <c r="AA165" s="287"/>
      <c r="AB165" s="116"/>
      <c r="AC165" s="17"/>
      <c r="AD165" s="288"/>
      <c r="AE165" s="17"/>
      <c r="AF165" s="287"/>
      <c r="AG165" s="116"/>
      <c r="AH165" s="285" t="str">
        <f>IF(Таблица5[[#This Row],[30]]=0,"НД",Таблица5[[#This Row],[20]]-Таблица5[[#This Row],[30]])</f>
        <v>НД</v>
      </c>
      <c r="AI165" s="693" t="str">
        <f>IF(((1-Таблица5[[#This Row],[30]]/Таблица5[[#This Row],[20]])=1),"НД",(1-Таблица5[[#This Row],[30]]/Таблица5[[#This Row],[20]]))</f>
        <v>НД</v>
      </c>
      <c r="AJ165" s="116"/>
      <c r="AK165" s="116"/>
      <c r="AL165" s="694"/>
      <c r="AM165" s="51"/>
      <c r="AN165" s="288"/>
      <c r="AO165" s="377">
        <f>IF(Таблица5[[#This Row],[11]]=0,,MONTH(Таблица5[[#This Row],[11]]))</f>
        <v>0</v>
      </c>
    </row>
    <row r="166" spans="1:41" ht="80.099999999999994" customHeight="1" x14ac:dyDescent="0.25">
      <c r="A166" s="282" t="str">
        <f t="shared" si="2"/>
        <v>0645-00151</v>
      </c>
      <c r="B166" s="282" t="str">
        <f>РПЗ!$D166</f>
        <v>0645-00151. Оказание услуг стационарной связи</v>
      </c>
      <c r="C166" s="282" t="str">
        <f>РПЗ!$AA166</f>
        <v>Служба автоматизации производства Егоров Михаил Валентинович 290-02-07</v>
      </c>
      <c r="D166" s="15" t="str">
        <f>РПЗ!$AB166</f>
        <v>ООО "РТ-Информ"</v>
      </c>
      <c r="E166" s="692"/>
      <c r="F166" s="282" t="str">
        <f>РПЗ!Q166</f>
        <v>ОЗК</v>
      </c>
      <c r="G166" s="287"/>
      <c r="H166" s="287" t="str">
        <f>РПЗ!R166</f>
        <v>Да</v>
      </c>
      <c r="I166" s="15" t="str">
        <f>РПЗ!W166</f>
        <v>Не применимо</v>
      </c>
      <c r="J166" s="282" t="str">
        <f>РПЗ!X166</f>
        <v>Не применимо</v>
      </c>
      <c r="K166" s="336" t="str">
        <f>РПЗ!Z166</f>
        <v>Не применимо</v>
      </c>
      <c r="L166" s="17"/>
      <c r="M166" s="18">
        <f>РПЗ!O166</f>
        <v>42736</v>
      </c>
      <c r="N166" s="289"/>
      <c r="O166" s="17"/>
      <c r="P166" s="17"/>
      <c r="Q166" s="17"/>
      <c r="R166" s="17"/>
      <c r="S166" s="17"/>
      <c r="T166" s="17"/>
      <c r="U166" s="18">
        <f>РПЗ!P166</f>
        <v>43100</v>
      </c>
      <c r="V166" s="17"/>
      <c r="W166" s="285">
        <f>РПЗ!L166</f>
        <v>2280900</v>
      </c>
      <c r="X166" s="286"/>
      <c r="Y166" s="286"/>
      <c r="Z166" s="300"/>
      <c r="AA166" s="287"/>
      <c r="AB166" s="116"/>
      <c r="AC166" s="17"/>
      <c r="AD166" s="288"/>
      <c r="AE166" s="17"/>
      <c r="AF166" s="287"/>
      <c r="AG166" s="116"/>
      <c r="AH166" s="285" t="str">
        <f>IF(Таблица5[[#This Row],[30]]=0,"НД",Таблица5[[#This Row],[20]]-Таблица5[[#This Row],[30]])</f>
        <v>НД</v>
      </c>
      <c r="AI166" s="693" t="str">
        <f>IF(((1-Таблица5[[#This Row],[30]]/Таблица5[[#This Row],[20]])=1),"НД",(1-Таблица5[[#This Row],[30]]/Таблица5[[#This Row],[20]]))</f>
        <v>НД</v>
      </c>
      <c r="AJ166" s="116"/>
      <c r="AK166" s="116"/>
      <c r="AL166" s="694"/>
      <c r="AM166" s="51"/>
      <c r="AN166" s="288"/>
      <c r="AO166" s="377">
        <f>IF(Таблица5[[#This Row],[11]]=0,,MONTH(Таблица5[[#This Row],[11]]))</f>
        <v>0</v>
      </c>
    </row>
    <row r="167" spans="1:41" ht="80.099999999999994" customHeight="1" x14ac:dyDescent="0.25">
      <c r="A167" s="282" t="str">
        <f t="shared" si="2"/>
        <v>0645-00152</v>
      </c>
      <c r="B167" s="282" t="str">
        <f>РПЗ!$D167</f>
        <v>0645-00152. Оказание услуг мобильной связи</v>
      </c>
      <c r="C167" s="282" t="str">
        <f>РПЗ!$AA167</f>
        <v>Служба автоматизации производства Егоров Михаил Валентинович 290-02-07</v>
      </c>
      <c r="D167" s="15" t="str">
        <f>РПЗ!$AB167</f>
        <v>Заказчик</v>
      </c>
      <c r="E167" s="692"/>
      <c r="F167" s="282" t="str">
        <f>РПЗ!Q167</f>
        <v>ОЗК</v>
      </c>
      <c r="G167" s="287"/>
      <c r="H167" s="287" t="str">
        <f>РПЗ!R167</f>
        <v>Да</v>
      </c>
      <c r="I167" s="15" t="str">
        <f>РПЗ!W167</f>
        <v>Не применимо</v>
      </c>
      <c r="J167" s="282" t="str">
        <f>РПЗ!X167</f>
        <v>Не применимо</v>
      </c>
      <c r="K167" s="336" t="str">
        <f>РПЗ!Z167</f>
        <v>Не применимо</v>
      </c>
      <c r="L167" s="17"/>
      <c r="M167" s="18">
        <f>РПЗ!O167</f>
        <v>42736</v>
      </c>
      <c r="N167" s="289"/>
      <c r="O167" s="17"/>
      <c r="P167" s="17"/>
      <c r="Q167" s="17"/>
      <c r="R167" s="17"/>
      <c r="S167" s="17"/>
      <c r="T167" s="17"/>
      <c r="U167" s="18">
        <f>РПЗ!P167</f>
        <v>43100</v>
      </c>
      <c r="V167" s="17"/>
      <c r="W167" s="285">
        <f>РПЗ!L167</f>
        <v>338000</v>
      </c>
      <c r="X167" s="286"/>
      <c r="Y167" s="286"/>
      <c r="Z167" s="300"/>
      <c r="AA167" s="287"/>
      <c r="AB167" s="116"/>
      <c r="AC167" s="17"/>
      <c r="AD167" s="288"/>
      <c r="AE167" s="17"/>
      <c r="AF167" s="287"/>
      <c r="AG167" s="116"/>
      <c r="AH167" s="285" t="str">
        <f>IF(Таблица5[[#This Row],[30]]=0,"НД",Таблица5[[#This Row],[20]]-Таблица5[[#This Row],[30]])</f>
        <v>НД</v>
      </c>
      <c r="AI167" s="693" t="str">
        <f>IF(((1-Таблица5[[#This Row],[30]]/Таблица5[[#This Row],[20]])=1),"НД",(1-Таблица5[[#This Row],[30]]/Таблица5[[#This Row],[20]]))</f>
        <v>НД</v>
      </c>
      <c r="AJ167" s="116"/>
      <c r="AK167" s="116"/>
      <c r="AL167" s="694"/>
      <c r="AM167" s="51"/>
      <c r="AN167" s="288"/>
      <c r="AO167" s="377">
        <f>IF(Таблица5[[#This Row],[11]]=0,,MONTH(Таблица5[[#This Row],[11]]))</f>
        <v>0</v>
      </c>
    </row>
    <row r="168" spans="1:41" ht="80.099999999999994" customHeight="1" x14ac:dyDescent="0.25">
      <c r="A168" s="282" t="str">
        <f t="shared" si="2"/>
        <v>0645-00153</v>
      </c>
      <c r="B168" s="282" t="str">
        <f>РПЗ!$D168</f>
        <v>0645-00153. Оказание услуг аренды каналов</v>
      </c>
      <c r="C168" s="282" t="str">
        <f>РПЗ!$AA168</f>
        <v>Служба автоматизации производства Егоров Михаил Валентинович 290-02-07</v>
      </c>
      <c r="D168" s="15" t="str">
        <f>РПЗ!$AB168</f>
        <v>Заказчик</v>
      </c>
      <c r="E168" s="692"/>
      <c r="F168" s="282" t="str">
        <f>РПЗ!Q168</f>
        <v>ОЗК</v>
      </c>
      <c r="G168" s="287"/>
      <c r="H168" s="287" t="str">
        <f>РПЗ!R168</f>
        <v>Да</v>
      </c>
      <c r="I168" s="15" t="str">
        <f>РПЗ!W168</f>
        <v>Не применимо</v>
      </c>
      <c r="J168" s="282" t="str">
        <f>РПЗ!X168</f>
        <v>Не применимо</v>
      </c>
      <c r="K168" s="336" t="str">
        <f>РПЗ!Z168</f>
        <v>Не применимо</v>
      </c>
      <c r="L168" s="17"/>
      <c r="M168" s="18">
        <f>РПЗ!O168</f>
        <v>42736</v>
      </c>
      <c r="N168" s="289"/>
      <c r="O168" s="17"/>
      <c r="P168" s="17"/>
      <c r="Q168" s="17"/>
      <c r="R168" s="17"/>
      <c r="S168" s="17"/>
      <c r="T168" s="17"/>
      <c r="U168" s="18">
        <f>РПЗ!P168</f>
        <v>43100</v>
      </c>
      <c r="V168" s="17"/>
      <c r="W168" s="285">
        <f>РПЗ!L168</f>
        <v>162000</v>
      </c>
      <c r="X168" s="286"/>
      <c r="Y168" s="286"/>
      <c r="Z168" s="300"/>
      <c r="AA168" s="287"/>
      <c r="AB168" s="116"/>
      <c r="AC168" s="17"/>
      <c r="AD168" s="288"/>
      <c r="AE168" s="17"/>
      <c r="AF168" s="287"/>
      <c r="AG168" s="116"/>
      <c r="AH168" s="285" t="str">
        <f>IF(Таблица5[[#This Row],[30]]=0,"НД",Таблица5[[#This Row],[20]]-Таблица5[[#This Row],[30]])</f>
        <v>НД</v>
      </c>
      <c r="AI168" s="693" t="str">
        <f>IF(((1-Таблица5[[#This Row],[30]]/Таблица5[[#This Row],[20]])=1),"НД",(1-Таблица5[[#This Row],[30]]/Таблица5[[#This Row],[20]]))</f>
        <v>НД</v>
      </c>
      <c r="AJ168" s="116"/>
      <c r="AK168" s="116"/>
      <c r="AL168" s="694"/>
      <c r="AM168" s="51"/>
      <c r="AN168" s="288"/>
      <c r="AO168" s="377">
        <f>IF(Таблица5[[#This Row],[11]]=0,,MONTH(Таблица5[[#This Row],[11]]))</f>
        <v>0</v>
      </c>
    </row>
    <row r="169" spans="1:41" ht="80.099999999999994" customHeight="1" x14ac:dyDescent="0.25">
      <c r="A169" s="282" t="str">
        <f t="shared" si="2"/>
        <v>0645-00154</v>
      </c>
      <c r="B169" s="282" t="str">
        <f>РПЗ!$D169</f>
        <v>0645-00154. Оказание услуг доступа к сети интернет</v>
      </c>
      <c r="C169" s="282" t="str">
        <f>РПЗ!$AA169</f>
        <v>Служба автоматизации производства Егоров Михаил Валентинович 290-02-07</v>
      </c>
      <c r="D169" s="15" t="str">
        <f>РПЗ!$AB169</f>
        <v>Заказчик</v>
      </c>
      <c r="E169" s="692"/>
      <c r="F169" s="282" t="str">
        <f>РПЗ!Q169</f>
        <v>ОЗК</v>
      </c>
      <c r="G169" s="287"/>
      <c r="H169" s="287" t="str">
        <f>РПЗ!R169</f>
        <v>Да</v>
      </c>
      <c r="I169" s="15" t="str">
        <f>РПЗ!W169</f>
        <v>Не применимо</v>
      </c>
      <c r="J169" s="282" t="str">
        <f>РПЗ!X169</f>
        <v>Не применимо</v>
      </c>
      <c r="K169" s="336" t="str">
        <f>РПЗ!Z169</f>
        <v>Не применимо</v>
      </c>
      <c r="L169" s="17"/>
      <c r="M169" s="18">
        <f>РПЗ!O169</f>
        <v>42736</v>
      </c>
      <c r="N169" s="289"/>
      <c r="O169" s="17"/>
      <c r="P169" s="17"/>
      <c r="Q169" s="17"/>
      <c r="R169" s="17"/>
      <c r="S169" s="17"/>
      <c r="T169" s="17"/>
      <c r="U169" s="18">
        <f>РПЗ!P169</f>
        <v>43100</v>
      </c>
      <c r="V169" s="17"/>
      <c r="W169" s="285">
        <f>РПЗ!L169</f>
        <v>164620</v>
      </c>
      <c r="X169" s="286"/>
      <c r="Y169" s="286"/>
      <c r="Z169" s="300"/>
      <c r="AA169" s="287"/>
      <c r="AB169" s="116"/>
      <c r="AC169" s="17"/>
      <c r="AD169" s="288"/>
      <c r="AE169" s="17"/>
      <c r="AF169" s="287"/>
      <c r="AG169" s="116"/>
      <c r="AH169" s="285" t="str">
        <f>IF(Таблица5[[#This Row],[30]]=0,"НД",Таблица5[[#This Row],[20]]-Таблица5[[#This Row],[30]])</f>
        <v>НД</v>
      </c>
      <c r="AI169" s="693" t="str">
        <f>IF(((1-Таблица5[[#This Row],[30]]/Таблица5[[#This Row],[20]])=1),"НД",(1-Таблица5[[#This Row],[30]]/Таблица5[[#This Row],[20]]))</f>
        <v>НД</v>
      </c>
      <c r="AJ169" s="116"/>
      <c r="AK169" s="116"/>
      <c r="AL169" s="694"/>
      <c r="AM169" s="51"/>
      <c r="AN169" s="288"/>
      <c r="AO169" s="377">
        <f>IF(Таблица5[[#This Row],[11]]=0,,MONTH(Таблица5[[#This Row],[11]]))</f>
        <v>0</v>
      </c>
    </row>
    <row r="170" spans="1:41" ht="80.099999999999994" customHeight="1" x14ac:dyDescent="0.25">
      <c r="A170" s="282" t="str">
        <f t="shared" si="2"/>
        <v>0645-00155</v>
      </c>
      <c r="B170" s="282" t="str">
        <f>РПЗ!$D170</f>
        <v>0645-00155. Поставка расходных материалов для МФУ</v>
      </c>
      <c r="C170" s="282" t="str">
        <f>РПЗ!$AA170</f>
        <v>Коммерческий отдел Фёдоров Александр Сергеевич 594-57-59</v>
      </c>
      <c r="D170" s="15" t="str">
        <f>РПЗ!$AB170</f>
        <v>ООО "РТ-Информ"</v>
      </c>
      <c r="E170" s="692"/>
      <c r="F170" s="282" t="str">
        <f>РПЗ!Q170</f>
        <v>ОЗК</v>
      </c>
      <c r="G170" s="287"/>
      <c r="H170" s="287" t="str">
        <f>РПЗ!R170</f>
        <v>Да</v>
      </c>
      <c r="I170" s="15" t="str">
        <f>РПЗ!W170</f>
        <v>не применимо</v>
      </c>
      <c r="J170" s="282" t="str">
        <f>РПЗ!X170</f>
        <v>не применимо</v>
      </c>
      <c r="K170" s="336" t="str">
        <f>РПЗ!Z170</f>
        <v>не применимо</v>
      </c>
      <c r="L170" s="17"/>
      <c r="M170" s="18">
        <f>РПЗ!O170</f>
        <v>42795</v>
      </c>
      <c r="N170" s="289"/>
      <c r="O170" s="17"/>
      <c r="P170" s="17"/>
      <c r="Q170" s="17"/>
      <c r="R170" s="17"/>
      <c r="S170" s="17"/>
      <c r="T170" s="17"/>
      <c r="U170" s="18">
        <f>РПЗ!P170</f>
        <v>43040</v>
      </c>
      <c r="V170" s="17"/>
      <c r="W170" s="285">
        <f>РПЗ!L170</f>
        <v>520000</v>
      </c>
      <c r="X170" s="286"/>
      <c r="Y170" s="286"/>
      <c r="Z170" s="300"/>
      <c r="AA170" s="287"/>
      <c r="AB170" s="116"/>
      <c r="AC170" s="17"/>
      <c r="AD170" s="288"/>
      <c r="AE170" s="17"/>
      <c r="AF170" s="287"/>
      <c r="AG170" s="116"/>
      <c r="AH170" s="285" t="str">
        <f>IF(Таблица5[[#This Row],[30]]=0,"НД",Таблица5[[#This Row],[20]]-Таблица5[[#This Row],[30]])</f>
        <v>НД</v>
      </c>
      <c r="AI170" s="693" t="str">
        <f>IF(((1-Таблица5[[#This Row],[30]]/Таблица5[[#This Row],[20]])=1),"НД",(1-Таблица5[[#This Row],[30]]/Таблица5[[#This Row],[20]]))</f>
        <v>НД</v>
      </c>
      <c r="AJ170" s="116"/>
      <c r="AK170" s="116"/>
      <c r="AL170" s="694"/>
      <c r="AM170" s="51"/>
      <c r="AN170" s="288"/>
      <c r="AO170" s="377">
        <f>IF(Таблица5[[#This Row],[11]]=0,,MONTH(Таблица5[[#This Row],[11]]))</f>
        <v>0</v>
      </c>
    </row>
    <row r="171" spans="1:41" ht="80.099999999999994" customHeight="1" x14ac:dyDescent="0.25">
      <c r="A171" s="282" t="str">
        <f t="shared" si="2"/>
        <v>0645-00156</v>
      </c>
      <c r="B171" s="282" t="str">
        <f>РПЗ!$D171</f>
        <v>0645-00156. Постака антивирусного программного обеспечения с поддержкой 1 год
(Symantec EndpointProtection 12)</v>
      </c>
      <c r="C171" s="282" t="str">
        <f>РПЗ!$AA171</f>
        <v>Служба автоматизации производства Егоров Михаил Валентинович 290-02-07</v>
      </c>
      <c r="D171" s="15" t="str">
        <f>РПЗ!$AB171</f>
        <v>Заказчик</v>
      </c>
      <c r="E171" s="692"/>
      <c r="F171" s="282" t="str">
        <f>РПЗ!Q171</f>
        <v>ОЗК</v>
      </c>
      <c r="G171" s="287"/>
      <c r="H171" s="287" t="str">
        <f>РПЗ!R171</f>
        <v>Да</v>
      </c>
      <c r="I171" s="15" t="str">
        <f>РПЗ!W171</f>
        <v>Не применимо</v>
      </c>
      <c r="J171" s="282" t="str">
        <f>РПЗ!X171</f>
        <v>Не применимо</v>
      </c>
      <c r="K171" s="336" t="str">
        <f>РПЗ!Z171</f>
        <v>Не применимо</v>
      </c>
      <c r="L171" s="17"/>
      <c r="M171" s="18">
        <f>РПЗ!O171</f>
        <v>42826</v>
      </c>
      <c r="N171" s="289"/>
      <c r="O171" s="17"/>
      <c r="P171" s="17"/>
      <c r="Q171" s="17"/>
      <c r="R171" s="17"/>
      <c r="S171" s="17"/>
      <c r="T171" s="17"/>
      <c r="U171" s="18">
        <f>РПЗ!P171</f>
        <v>43100</v>
      </c>
      <c r="V171" s="17"/>
      <c r="W171" s="285">
        <f>РПЗ!L171</f>
        <v>200000</v>
      </c>
      <c r="X171" s="286"/>
      <c r="Y171" s="286"/>
      <c r="Z171" s="300"/>
      <c r="AA171" s="287"/>
      <c r="AB171" s="116"/>
      <c r="AC171" s="17"/>
      <c r="AD171" s="288"/>
      <c r="AE171" s="17"/>
      <c r="AF171" s="287"/>
      <c r="AG171" s="116"/>
      <c r="AH171" s="285" t="str">
        <f>IF(Таблица5[[#This Row],[30]]=0,"НД",Таблица5[[#This Row],[20]]-Таблица5[[#This Row],[30]])</f>
        <v>НД</v>
      </c>
      <c r="AI171" s="693" t="str">
        <f>IF(((1-Таблица5[[#This Row],[30]]/Таблица5[[#This Row],[20]])=1),"НД",(1-Таблица5[[#This Row],[30]]/Таблица5[[#This Row],[20]]))</f>
        <v>НД</v>
      </c>
      <c r="AJ171" s="116"/>
      <c r="AK171" s="116"/>
      <c r="AL171" s="694"/>
      <c r="AM171" s="51"/>
      <c r="AN171" s="288"/>
      <c r="AO171" s="377">
        <f>IF(Таблица5[[#This Row],[11]]=0,,MONTH(Таблица5[[#This Row],[11]]))</f>
        <v>0</v>
      </c>
    </row>
    <row r="172" spans="1:41" ht="80.099999999999994" customHeight="1" x14ac:dyDescent="0.25">
      <c r="A172" s="282" t="str">
        <f t="shared" si="2"/>
        <v>0645-00157</v>
      </c>
      <c r="B172" s="282" t="str">
        <f>РПЗ!$D172</f>
        <v>0645-00157. Оказание услуг по сопровождению АС ЕКК</v>
      </c>
      <c r="C172" s="282" t="str">
        <f>РПЗ!$AA172</f>
        <v>Служба автоматизации производства Егоров Михаил Валентинович 290-02-07</v>
      </c>
      <c r="D172" s="15" t="str">
        <f>РПЗ!$AB172</f>
        <v>ГК"Ростех"</v>
      </c>
      <c r="E172" s="692"/>
      <c r="F172" s="282" t="str">
        <f>РПЗ!Q172</f>
        <v>ОЗК</v>
      </c>
      <c r="G172" s="287"/>
      <c r="H172" s="287" t="str">
        <f>РПЗ!R172</f>
        <v>Да</v>
      </c>
      <c r="I172" s="15" t="str">
        <f>РПЗ!W172</f>
        <v>Не применимо</v>
      </c>
      <c r="J172" s="282" t="str">
        <f>РПЗ!X172</f>
        <v>Не применимо</v>
      </c>
      <c r="K172" s="336" t="str">
        <f>РПЗ!Z172</f>
        <v>Не применимо</v>
      </c>
      <c r="L172" s="17"/>
      <c r="M172" s="18">
        <f>РПЗ!O172</f>
        <v>42826</v>
      </c>
      <c r="N172" s="289"/>
      <c r="O172" s="17"/>
      <c r="P172" s="17"/>
      <c r="Q172" s="17"/>
      <c r="R172" s="17"/>
      <c r="S172" s="17"/>
      <c r="T172" s="17"/>
      <c r="U172" s="18">
        <f>РПЗ!P172</f>
        <v>43100</v>
      </c>
      <c r="V172" s="17"/>
      <c r="W172" s="285">
        <f>РПЗ!L172</f>
        <v>200000</v>
      </c>
      <c r="X172" s="286"/>
      <c r="Y172" s="286"/>
      <c r="Z172" s="300"/>
      <c r="AA172" s="287"/>
      <c r="AB172" s="116"/>
      <c r="AC172" s="17"/>
      <c r="AD172" s="288"/>
      <c r="AE172" s="17"/>
      <c r="AF172" s="287"/>
      <c r="AG172" s="116"/>
      <c r="AH172" s="285" t="str">
        <f>IF(Таблица5[[#This Row],[30]]=0,"НД",Таблица5[[#This Row],[20]]-Таблица5[[#This Row],[30]])</f>
        <v>НД</v>
      </c>
      <c r="AI172" s="693" t="str">
        <f>IF(((1-Таблица5[[#This Row],[30]]/Таблица5[[#This Row],[20]])=1),"НД",(1-Таблица5[[#This Row],[30]]/Таблица5[[#This Row],[20]]))</f>
        <v>НД</v>
      </c>
      <c r="AJ172" s="116"/>
      <c r="AK172" s="116"/>
      <c r="AL172" s="694"/>
      <c r="AM172" s="51"/>
      <c r="AN172" s="288"/>
      <c r="AO172" s="377">
        <f>IF(Таблица5[[#This Row],[11]]=0,,MONTH(Таблица5[[#This Row],[11]]))</f>
        <v>0</v>
      </c>
    </row>
    <row r="173" spans="1:41" ht="80.099999999999994" customHeight="1" x14ac:dyDescent="0.25">
      <c r="A173" s="282" t="str">
        <f t="shared" si="2"/>
        <v>0645-00158</v>
      </c>
      <c r="B173" s="282" t="str">
        <f>РПЗ!$D173</f>
        <v>0645-00158. Постака автоматизированных рабочих мест для модернизации ЗЛВС</v>
      </c>
      <c r="C173" s="282" t="str">
        <f>РПЗ!$AA173</f>
        <v>Служба автоматизации производства Егоров Михаил Валентинович 290-02-07</v>
      </c>
      <c r="D173" s="15" t="str">
        <f>РПЗ!$AB173</f>
        <v>Заказчик</v>
      </c>
      <c r="E173" s="692"/>
      <c r="F173" s="282" t="str">
        <f>РПЗ!Q173</f>
        <v>ОЗК</v>
      </c>
      <c r="G173" s="287"/>
      <c r="H173" s="287" t="str">
        <f>РПЗ!R173</f>
        <v>Да</v>
      </c>
      <c r="I173" s="15" t="str">
        <f>РПЗ!W173</f>
        <v>Не применимо</v>
      </c>
      <c r="J173" s="282" t="str">
        <f>РПЗ!X173</f>
        <v>Не применимо</v>
      </c>
      <c r="K173" s="336" t="str">
        <f>РПЗ!Z173</f>
        <v>Не применимо</v>
      </c>
      <c r="L173" s="17"/>
      <c r="M173" s="18">
        <f>РПЗ!O173</f>
        <v>42826</v>
      </c>
      <c r="N173" s="289"/>
      <c r="O173" s="17"/>
      <c r="P173" s="17"/>
      <c r="Q173" s="17"/>
      <c r="R173" s="17"/>
      <c r="S173" s="17"/>
      <c r="T173" s="17"/>
      <c r="U173" s="18">
        <f>РПЗ!P173</f>
        <v>43100</v>
      </c>
      <c r="V173" s="17"/>
      <c r="W173" s="285">
        <f>РПЗ!L173</f>
        <v>500000</v>
      </c>
      <c r="X173" s="286"/>
      <c r="Y173" s="286"/>
      <c r="Z173" s="300"/>
      <c r="AA173" s="287"/>
      <c r="AB173" s="116"/>
      <c r="AC173" s="17"/>
      <c r="AD173" s="288"/>
      <c r="AE173" s="17"/>
      <c r="AF173" s="287"/>
      <c r="AG173" s="116"/>
      <c r="AH173" s="285" t="str">
        <f>IF(Таблица5[[#This Row],[30]]=0,"НД",Таблица5[[#This Row],[20]]-Таблица5[[#This Row],[30]])</f>
        <v>НД</v>
      </c>
      <c r="AI173" s="693" t="str">
        <f>IF(((1-Таблица5[[#This Row],[30]]/Таблица5[[#This Row],[20]])=1),"НД",(1-Таблица5[[#This Row],[30]]/Таблица5[[#This Row],[20]]))</f>
        <v>НД</v>
      </c>
      <c r="AJ173" s="116"/>
      <c r="AK173" s="116"/>
      <c r="AL173" s="694"/>
      <c r="AM173" s="51"/>
      <c r="AN173" s="288"/>
      <c r="AO173" s="377">
        <f>IF(Таблица5[[#This Row],[11]]=0,,MONTH(Таблица5[[#This Row],[11]]))</f>
        <v>0</v>
      </c>
    </row>
    <row r="174" spans="1:41" ht="80.099999999999994" customHeight="1" x14ac:dyDescent="0.25">
      <c r="A174" s="282" t="str">
        <f t="shared" si="2"/>
        <v>0645-00159</v>
      </c>
      <c r="B174" s="282" t="str">
        <f>РПЗ!$D174</f>
        <v>0645-00159.  Постака автоматизированных рабочих мест</v>
      </c>
      <c r="C174" s="282" t="str">
        <f>РПЗ!$AA174</f>
        <v>Служба автоматизации производства Егоров Михаил Валентинович 290-02-07</v>
      </c>
      <c r="D174" s="15" t="str">
        <f>РПЗ!$AB174</f>
        <v>Заказчик</v>
      </c>
      <c r="E174" s="692"/>
      <c r="F174" s="282" t="str">
        <f>РПЗ!Q174</f>
        <v>ОЗК</v>
      </c>
      <c r="G174" s="287"/>
      <c r="H174" s="287" t="str">
        <f>РПЗ!R174</f>
        <v>Да</v>
      </c>
      <c r="I174" s="15" t="str">
        <f>РПЗ!W174</f>
        <v>Не применимо</v>
      </c>
      <c r="J174" s="282" t="str">
        <f>РПЗ!X174</f>
        <v>Не применимо</v>
      </c>
      <c r="K174" s="336" t="str">
        <f>РПЗ!Z174</f>
        <v>Не применимо</v>
      </c>
      <c r="L174" s="17"/>
      <c r="M174" s="18">
        <f>РПЗ!O174</f>
        <v>42826</v>
      </c>
      <c r="N174" s="289"/>
      <c r="O174" s="17"/>
      <c r="P174" s="17"/>
      <c r="Q174" s="17"/>
      <c r="R174" s="17"/>
      <c r="S174" s="17"/>
      <c r="T174" s="17"/>
      <c r="U174" s="18">
        <f>РПЗ!P174</f>
        <v>43100</v>
      </c>
      <c r="V174" s="17"/>
      <c r="W174" s="285">
        <f>РПЗ!L174</f>
        <v>140000</v>
      </c>
      <c r="X174" s="286"/>
      <c r="Y174" s="286"/>
      <c r="Z174" s="300"/>
      <c r="AA174" s="287"/>
      <c r="AB174" s="116"/>
      <c r="AC174" s="17"/>
      <c r="AD174" s="288"/>
      <c r="AE174" s="17"/>
      <c r="AF174" s="287"/>
      <c r="AG174" s="116"/>
      <c r="AH174" s="285" t="str">
        <f>IF(Таблица5[[#This Row],[30]]=0,"НД",Таблица5[[#This Row],[20]]-Таблица5[[#This Row],[30]])</f>
        <v>НД</v>
      </c>
      <c r="AI174" s="693" t="str">
        <f>IF(((1-Таблица5[[#This Row],[30]]/Таблица5[[#This Row],[20]])=1),"НД",(1-Таблица5[[#This Row],[30]]/Таблица5[[#This Row],[20]]))</f>
        <v>НД</v>
      </c>
      <c r="AJ174" s="116"/>
      <c r="AK174" s="116"/>
      <c r="AL174" s="694"/>
      <c r="AM174" s="51"/>
      <c r="AN174" s="288"/>
      <c r="AO174" s="377">
        <f>IF(Таблица5[[#This Row],[11]]=0,,MONTH(Таблица5[[#This Row],[11]]))</f>
        <v>0</v>
      </c>
    </row>
    <row r="175" spans="1:41" ht="80.099999999999994" customHeight="1" x14ac:dyDescent="0.25">
      <c r="A175" s="282" t="str">
        <f t="shared" si="2"/>
        <v>0645-00160</v>
      </c>
      <c r="B175" s="282" t="str">
        <f>РПЗ!$D175</f>
        <v>0645-00160. Постака пассивного сетевого оборудования для развертывания сегмента на территории СГК</v>
      </c>
      <c r="C175" s="282" t="str">
        <f>РПЗ!$AA175</f>
        <v>Служба автоматизации производства Егоров Михаил Валентинович 290-02-07</v>
      </c>
      <c r="D175" s="15" t="str">
        <f>РПЗ!$AB175</f>
        <v>Заказчик</v>
      </c>
      <c r="E175" s="692"/>
      <c r="F175" s="282" t="str">
        <f>РПЗ!Q175</f>
        <v>ОЗК</v>
      </c>
      <c r="G175" s="287"/>
      <c r="H175" s="287" t="str">
        <f>РПЗ!R175</f>
        <v>Да</v>
      </c>
      <c r="I175" s="15" t="str">
        <f>РПЗ!W175</f>
        <v>Не применимо</v>
      </c>
      <c r="J175" s="282" t="str">
        <f>РПЗ!X175</f>
        <v>Не применимо</v>
      </c>
      <c r="K175" s="336" t="str">
        <f>РПЗ!Z175</f>
        <v>Не применимо</v>
      </c>
      <c r="L175" s="17"/>
      <c r="M175" s="18">
        <f>РПЗ!O175</f>
        <v>42826</v>
      </c>
      <c r="N175" s="289"/>
      <c r="O175" s="17"/>
      <c r="P175" s="17"/>
      <c r="Q175" s="17"/>
      <c r="R175" s="17"/>
      <c r="S175" s="17"/>
      <c r="T175" s="17"/>
      <c r="U175" s="18">
        <f>РПЗ!P175</f>
        <v>43100</v>
      </c>
      <c r="V175" s="17"/>
      <c r="W175" s="285">
        <f>РПЗ!L175</f>
        <v>326840</v>
      </c>
      <c r="X175" s="286"/>
      <c r="Y175" s="286"/>
      <c r="Z175" s="300"/>
      <c r="AA175" s="287"/>
      <c r="AB175" s="116"/>
      <c r="AC175" s="17"/>
      <c r="AD175" s="288"/>
      <c r="AE175" s="17"/>
      <c r="AF175" s="287"/>
      <c r="AG175" s="116"/>
      <c r="AH175" s="285" t="str">
        <f>IF(Таблица5[[#This Row],[30]]=0,"НД",Таблица5[[#This Row],[20]]-Таблица5[[#This Row],[30]])</f>
        <v>НД</v>
      </c>
      <c r="AI175" s="693" t="str">
        <f>IF(((1-Таблица5[[#This Row],[30]]/Таблица5[[#This Row],[20]])=1),"НД",(1-Таблица5[[#This Row],[30]]/Таблица5[[#This Row],[20]]))</f>
        <v>НД</v>
      </c>
      <c r="AJ175" s="116"/>
      <c r="AK175" s="116"/>
      <c r="AL175" s="694"/>
      <c r="AM175" s="51"/>
      <c r="AN175" s="288"/>
      <c r="AO175" s="377">
        <f>IF(Таблица5[[#This Row],[11]]=0,,MONTH(Таблица5[[#This Row],[11]]))</f>
        <v>0</v>
      </c>
    </row>
    <row r="176" spans="1:41" ht="80.099999999999994" customHeight="1" x14ac:dyDescent="0.25">
      <c r="A176" s="282" t="str">
        <f t="shared" si="2"/>
        <v>0645-00161</v>
      </c>
      <c r="B176" s="282" t="str">
        <f>РПЗ!$D176</f>
        <v>0645-00161. Постака  оборудования для модернизации локальной сети</v>
      </c>
      <c r="C176" s="282" t="str">
        <f>РПЗ!$AA176</f>
        <v>Служба автоматизации производства Егоров Михаил Валентинович 290-02-07</v>
      </c>
      <c r="D176" s="15" t="str">
        <f>РПЗ!$AB176</f>
        <v>ООО "РТ-Информ"</v>
      </c>
      <c r="E176" s="692"/>
      <c r="F176" s="282" t="str">
        <f>РПЗ!Q176</f>
        <v>ОЗК</v>
      </c>
      <c r="G176" s="287"/>
      <c r="H176" s="287" t="str">
        <f>РПЗ!R176</f>
        <v>Да</v>
      </c>
      <c r="I176" s="15" t="str">
        <f>РПЗ!W176</f>
        <v>Не применимо</v>
      </c>
      <c r="J176" s="282" t="str">
        <f>РПЗ!X176</f>
        <v>Не применимо</v>
      </c>
      <c r="K176" s="336" t="str">
        <f>РПЗ!Z176</f>
        <v>Не применимо</v>
      </c>
      <c r="L176" s="17"/>
      <c r="M176" s="18">
        <f>РПЗ!O176</f>
        <v>42917</v>
      </c>
      <c r="N176" s="289"/>
      <c r="O176" s="17"/>
      <c r="P176" s="17"/>
      <c r="Q176" s="17"/>
      <c r="R176" s="17"/>
      <c r="S176" s="17"/>
      <c r="T176" s="17"/>
      <c r="U176" s="18">
        <f>РПЗ!P176</f>
        <v>43070</v>
      </c>
      <c r="V176" s="17"/>
      <c r="W176" s="285">
        <f>РПЗ!L176</f>
        <v>738774</v>
      </c>
      <c r="X176" s="286"/>
      <c r="Y176" s="286"/>
      <c r="Z176" s="300"/>
      <c r="AA176" s="287"/>
      <c r="AB176" s="116"/>
      <c r="AC176" s="17"/>
      <c r="AD176" s="288"/>
      <c r="AE176" s="17"/>
      <c r="AF176" s="287"/>
      <c r="AG176" s="116"/>
      <c r="AH176" s="285" t="str">
        <f>IF(Таблица5[[#This Row],[30]]=0,"НД",Таблица5[[#This Row],[20]]-Таблица5[[#This Row],[30]])</f>
        <v>НД</v>
      </c>
      <c r="AI176" s="693" t="str">
        <f>IF(((1-Таблица5[[#This Row],[30]]/Таблица5[[#This Row],[20]])=1),"НД",(1-Таблица5[[#This Row],[30]]/Таблица5[[#This Row],[20]]))</f>
        <v>НД</v>
      </c>
      <c r="AJ176" s="116"/>
      <c r="AK176" s="116"/>
      <c r="AL176" s="694"/>
      <c r="AM176" s="51"/>
      <c r="AN176" s="288"/>
      <c r="AO176" s="377">
        <f>IF(Таблица5[[#This Row],[11]]=0,,MONTH(Таблица5[[#This Row],[11]]))</f>
        <v>0</v>
      </c>
    </row>
    <row r="177" spans="1:41" ht="80.099999999999994" customHeight="1" x14ac:dyDescent="0.25">
      <c r="A177" s="282" t="str">
        <f t="shared" si="2"/>
        <v>0645-00162</v>
      </c>
      <c r="B177" s="282" t="str">
        <f>РПЗ!$D177</f>
        <v>0645-00162. Постака автоматизированных рабочих мест</v>
      </c>
      <c r="C177" s="282" t="str">
        <f>РПЗ!$AA177</f>
        <v>Служба автоматизации производства Егоров Михаил Валентинович 290-02-07</v>
      </c>
      <c r="D177" s="15" t="str">
        <f>РПЗ!$AB177</f>
        <v>ООО "РТ-Информ"</v>
      </c>
      <c r="E177" s="692"/>
      <c r="F177" s="282" t="str">
        <f>РПЗ!Q177</f>
        <v>ОЗК</v>
      </c>
      <c r="G177" s="287"/>
      <c r="H177" s="287" t="str">
        <f>РПЗ!R177</f>
        <v>Да</v>
      </c>
      <c r="I177" s="15" t="str">
        <f>РПЗ!W177</f>
        <v>Не применимо</v>
      </c>
      <c r="J177" s="282" t="str">
        <f>РПЗ!X177</f>
        <v>Не применимо</v>
      </c>
      <c r="K177" s="336" t="str">
        <f>РПЗ!Z177</f>
        <v>Не применимо</v>
      </c>
      <c r="L177" s="17"/>
      <c r="M177" s="18">
        <f>РПЗ!O177</f>
        <v>42917</v>
      </c>
      <c r="N177" s="289"/>
      <c r="O177" s="17"/>
      <c r="P177" s="17"/>
      <c r="Q177" s="17"/>
      <c r="R177" s="17"/>
      <c r="S177" s="17"/>
      <c r="T177" s="17"/>
      <c r="U177" s="18">
        <f>РПЗ!P177</f>
        <v>43100</v>
      </c>
      <c r="V177" s="17"/>
      <c r="W177" s="285">
        <f>РПЗ!L177</f>
        <v>700000</v>
      </c>
      <c r="X177" s="286"/>
      <c r="Y177" s="286"/>
      <c r="Z177" s="300"/>
      <c r="AA177" s="287"/>
      <c r="AB177" s="116"/>
      <c r="AC177" s="17"/>
      <c r="AD177" s="288"/>
      <c r="AE177" s="17"/>
      <c r="AF177" s="287"/>
      <c r="AG177" s="116"/>
      <c r="AH177" s="285" t="str">
        <f>IF(Таблица5[[#This Row],[30]]=0,"НД",Таблица5[[#This Row],[20]]-Таблица5[[#This Row],[30]])</f>
        <v>НД</v>
      </c>
      <c r="AI177" s="693" t="str">
        <f>IF(((1-Таблица5[[#This Row],[30]]/Таблица5[[#This Row],[20]])=1),"НД",(1-Таблица5[[#This Row],[30]]/Таблица5[[#This Row],[20]]))</f>
        <v>НД</v>
      </c>
      <c r="AJ177" s="116"/>
      <c r="AK177" s="116"/>
      <c r="AL177" s="694"/>
      <c r="AM177" s="51"/>
      <c r="AN177" s="288"/>
      <c r="AO177" s="377">
        <f>IF(Таблица5[[#This Row],[11]]=0,,MONTH(Таблица5[[#This Row],[11]]))</f>
        <v>0</v>
      </c>
    </row>
    <row r="178" spans="1:41" ht="80.099999999999994" customHeight="1" x14ac:dyDescent="0.25">
      <c r="A178" s="282" t="str">
        <f t="shared" si="2"/>
        <v>0645-00163</v>
      </c>
      <c r="B178" s="282" t="str">
        <f>РПЗ!$D178</f>
        <v>0645-00163. Поставка средств печати (МФУ Kyocera ECOSYS M2535DN)</v>
      </c>
      <c r="C178" s="282" t="str">
        <f>РПЗ!$AA178</f>
        <v>Служба автоматизации производства Егоров Михаил Валентинович 290-02-07</v>
      </c>
      <c r="D178" s="15" t="str">
        <f>РПЗ!$AB178</f>
        <v>Заказчик</v>
      </c>
      <c r="E178" s="692"/>
      <c r="F178" s="282" t="str">
        <f>РПЗ!Q178</f>
        <v>ОЗК</v>
      </c>
      <c r="G178" s="287"/>
      <c r="H178" s="287" t="str">
        <f>РПЗ!R178</f>
        <v>Да</v>
      </c>
      <c r="I178" s="15" t="str">
        <f>РПЗ!W178</f>
        <v>Не применимо</v>
      </c>
      <c r="J178" s="282" t="str">
        <f>РПЗ!X178</f>
        <v>Не применимо</v>
      </c>
      <c r="K178" s="336" t="str">
        <f>РПЗ!Z178</f>
        <v>Не применимо</v>
      </c>
      <c r="L178" s="17"/>
      <c r="M178" s="18">
        <f>РПЗ!O178</f>
        <v>42917</v>
      </c>
      <c r="N178" s="289"/>
      <c r="O178" s="17"/>
      <c r="P178" s="17"/>
      <c r="Q178" s="17"/>
      <c r="R178" s="17"/>
      <c r="S178" s="17"/>
      <c r="T178" s="17"/>
      <c r="U178" s="18">
        <f>РПЗ!P178</f>
        <v>43100</v>
      </c>
      <c r="V178" s="17"/>
      <c r="W178" s="285">
        <f>РПЗ!L178</f>
        <v>100000</v>
      </c>
      <c r="X178" s="286"/>
      <c r="Y178" s="286"/>
      <c r="Z178" s="300"/>
      <c r="AA178" s="287"/>
      <c r="AB178" s="116"/>
      <c r="AC178" s="17"/>
      <c r="AD178" s="288"/>
      <c r="AE178" s="17"/>
      <c r="AF178" s="287"/>
      <c r="AG178" s="116"/>
      <c r="AH178" s="285" t="str">
        <f>IF(Таблица5[[#This Row],[30]]=0,"НД",Таблица5[[#This Row],[20]]-Таблица5[[#This Row],[30]])</f>
        <v>НД</v>
      </c>
      <c r="AI178" s="693" t="str">
        <f>IF(((1-Таблица5[[#This Row],[30]]/Таблица5[[#This Row],[20]])=1),"НД",(1-Таблица5[[#This Row],[30]]/Таблица5[[#This Row],[20]]))</f>
        <v>НД</v>
      </c>
      <c r="AJ178" s="116"/>
      <c r="AK178" s="116"/>
      <c r="AL178" s="694"/>
      <c r="AM178" s="51"/>
      <c r="AN178" s="288"/>
      <c r="AO178" s="377">
        <f>IF(Таблица5[[#This Row],[11]]=0,,MONTH(Таблица5[[#This Row],[11]]))</f>
        <v>0</v>
      </c>
    </row>
    <row r="179" spans="1:41" ht="80.099999999999994" customHeight="1" x14ac:dyDescent="0.25">
      <c r="A179" s="282" t="str">
        <f t="shared" si="2"/>
        <v>0645-00164</v>
      </c>
      <c r="B179" s="282" t="str">
        <f>РПЗ!$D179</f>
        <v>0645-00164. Поставка автоматизированных рабочих мест</v>
      </c>
      <c r="C179" s="282" t="str">
        <f>РПЗ!$AA179</f>
        <v>Служба автоматизации производства Егоров Михаил Валентинович 290-02-07</v>
      </c>
      <c r="D179" s="15" t="str">
        <f>РПЗ!$AB179</f>
        <v>Заказчик</v>
      </c>
      <c r="E179" s="692"/>
      <c r="F179" s="282" t="str">
        <f>РПЗ!Q179</f>
        <v>ОЗК</v>
      </c>
      <c r="G179" s="287"/>
      <c r="H179" s="287" t="str">
        <f>РПЗ!R179</f>
        <v>Да</v>
      </c>
      <c r="I179" s="15" t="str">
        <f>РПЗ!W179</f>
        <v>Не применимо</v>
      </c>
      <c r="J179" s="282" t="str">
        <f>РПЗ!X179</f>
        <v>Не применимо</v>
      </c>
      <c r="K179" s="336" t="str">
        <f>РПЗ!Z179</f>
        <v>Не применимо</v>
      </c>
      <c r="L179" s="17"/>
      <c r="M179" s="18">
        <f>РПЗ!O179</f>
        <v>42917</v>
      </c>
      <c r="N179" s="289"/>
      <c r="O179" s="17"/>
      <c r="P179" s="17"/>
      <c r="Q179" s="17"/>
      <c r="R179" s="17"/>
      <c r="S179" s="17"/>
      <c r="T179" s="17"/>
      <c r="U179" s="18">
        <f>РПЗ!P179</f>
        <v>43100</v>
      </c>
      <c r="V179" s="17"/>
      <c r="W179" s="285">
        <f>РПЗ!L179</f>
        <v>140000</v>
      </c>
      <c r="X179" s="286"/>
      <c r="Y179" s="286"/>
      <c r="Z179" s="300"/>
      <c r="AA179" s="287"/>
      <c r="AB179" s="116"/>
      <c r="AC179" s="17"/>
      <c r="AD179" s="288"/>
      <c r="AE179" s="17"/>
      <c r="AF179" s="287"/>
      <c r="AG179" s="116"/>
      <c r="AH179" s="285" t="str">
        <f>IF(Таблица5[[#This Row],[30]]=0,"НД",Таблица5[[#This Row],[20]]-Таблица5[[#This Row],[30]])</f>
        <v>НД</v>
      </c>
      <c r="AI179" s="693" t="str">
        <f>IF(((1-Таблица5[[#This Row],[30]]/Таблица5[[#This Row],[20]])=1),"НД",(1-Таблица5[[#This Row],[30]]/Таблица5[[#This Row],[20]]))</f>
        <v>НД</v>
      </c>
      <c r="AJ179" s="116"/>
      <c r="AK179" s="116"/>
      <c r="AL179" s="694"/>
      <c r="AM179" s="51"/>
      <c r="AN179" s="288"/>
      <c r="AO179" s="377">
        <f>IF(Таблица5[[#This Row],[11]]=0,,MONTH(Таблица5[[#This Row],[11]]))</f>
        <v>0</v>
      </c>
    </row>
    <row r="180" spans="1:41" ht="80.099999999999994" customHeight="1" x14ac:dyDescent="0.25">
      <c r="A180" s="282" t="str">
        <f t="shared" si="2"/>
        <v>0645-00165</v>
      </c>
      <c r="B180" s="282" t="str">
        <f>РПЗ!$D180</f>
        <v>0645-00165. Поставка лицензионного программного обеспечения (Microsoft Office std 2013 OLP)</v>
      </c>
      <c r="C180" s="282" t="str">
        <f>РПЗ!$AA180</f>
        <v>Служба автоматизации производства Егоров Михаил Валентинович 290-02-07</v>
      </c>
      <c r="D180" s="15" t="str">
        <f>РПЗ!$AB180</f>
        <v>ГК"Ростех"</v>
      </c>
      <c r="E180" s="692"/>
      <c r="F180" s="282" t="str">
        <f>РПЗ!Q180</f>
        <v>ОЗК</v>
      </c>
      <c r="G180" s="287"/>
      <c r="H180" s="287" t="str">
        <f>РПЗ!R180</f>
        <v>Да</v>
      </c>
      <c r="I180" s="15" t="str">
        <f>РПЗ!W180</f>
        <v>Не применимо</v>
      </c>
      <c r="J180" s="282" t="str">
        <f>РПЗ!X180</f>
        <v>Не применимо</v>
      </c>
      <c r="K180" s="336" t="str">
        <f>РПЗ!Z180</f>
        <v>Не применимо</v>
      </c>
      <c r="L180" s="17"/>
      <c r="M180" s="18">
        <f>РПЗ!O180</f>
        <v>43009</v>
      </c>
      <c r="N180" s="289"/>
      <c r="O180" s="17"/>
      <c r="P180" s="17"/>
      <c r="Q180" s="17"/>
      <c r="R180" s="17"/>
      <c r="S180" s="17"/>
      <c r="T180" s="17"/>
      <c r="U180" s="18">
        <f>РПЗ!P180</f>
        <v>43100</v>
      </c>
      <c r="V180" s="17"/>
      <c r="W180" s="285">
        <f>РПЗ!L180</f>
        <v>162000</v>
      </c>
      <c r="X180" s="286"/>
      <c r="Y180" s="286"/>
      <c r="Z180" s="300"/>
      <c r="AA180" s="287"/>
      <c r="AB180" s="116"/>
      <c r="AC180" s="17"/>
      <c r="AD180" s="288"/>
      <c r="AE180" s="17"/>
      <c r="AF180" s="287"/>
      <c r="AG180" s="116"/>
      <c r="AH180" s="285" t="str">
        <f>IF(Таблица5[[#This Row],[30]]=0,"НД",Таблица5[[#This Row],[20]]-Таблица5[[#This Row],[30]])</f>
        <v>НД</v>
      </c>
      <c r="AI180" s="693" t="str">
        <f>IF(((1-Таблица5[[#This Row],[30]]/Таблица5[[#This Row],[20]])=1),"НД",(1-Таблица5[[#This Row],[30]]/Таблица5[[#This Row],[20]]))</f>
        <v>НД</v>
      </c>
      <c r="AJ180" s="116"/>
      <c r="AK180" s="116"/>
      <c r="AL180" s="694"/>
      <c r="AM180" s="51"/>
      <c r="AN180" s="288"/>
      <c r="AO180" s="377">
        <f>IF(Таблица5[[#This Row],[11]]=0,,MONTH(Таблица5[[#This Row],[11]]))</f>
        <v>0</v>
      </c>
    </row>
    <row r="181" spans="1:41" ht="80.099999999999994" customHeight="1" x14ac:dyDescent="0.25">
      <c r="A181" s="282" t="str">
        <f t="shared" si="2"/>
        <v>0645-00166</v>
      </c>
      <c r="B181" s="282" t="str">
        <f>РПЗ!$D181</f>
        <v>0645-00166. Постака автоматизированных рабочих мест</v>
      </c>
      <c r="C181" s="282" t="str">
        <f>РПЗ!$AA181</f>
        <v>Служба автоматизации производства Егоров Михаил Валентинович 290-02-07</v>
      </c>
      <c r="D181" s="15" t="str">
        <f>РПЗ!$AB181</f>
        <v>Заказчик</v>
      </c>
      <c r="E181" s="692"/>
      <c r="F181" s="282" t="str">
        <f>РПЗ!Q181</f>
        <v>ОЗК</v>
      </c>
      <c r="G181" s="287"/>
      <c r="H181" s="287" t="str">
        <f>РПЗ!R181</f>
        <v>Да</v>
      </c>
      <c r="I181" s="15" t="str">
        <f>РПЗ!W181</f>
        <v>Не применимо</v>
      </c>
      <c r="J181" s="282" t="str">
        <f>РПЗ!X181</f>
        <v>Не применимо</v>
      </c>
      <c r="K181" s="336" t="str">
        <f>РПЗ!Z181</f>
        <v>Не применимо</v>
      </c>
      <c r="L181" s="17"/>
      <c r="M181" s="18">
        <f>РПЗ!O181</f>
        <v>43009</v>
      </c>
      <c r="N181" s="289"/>
      <c r="O181" s="17"/>
      <c r="P181" s="17"/>
      <c r="Q181" s="17"/>
      <c r="R181" s="17"/>
      <c r="S181" s="17"/>
      <c r="T181" s="17"/>
      <c r="U181" s="18">
        <f>РПЗ!P181</f>
        <v>43100</v>
      </c>
      <c r="V181" s="17"/>
      <c r="W181" s="285">
        <f>РПЗ!L181</f>
        <v>350000</v>
      </c>
      <c r="X181" s="286"/>
      <c r="Y181" s="286"/>
      <c r="Z181" s="300"/>
      <c r="AA181" s="287"/>
      <c r="AB181" s="116"/>
      <c r="AC181" s="17"/>
      <c r="AD181" s="288"/>
      <c r="AE181" s="17"/>
      <c r="AF181" s="287"/>
      <c r="AG181" s="116"/>
      <c r="AH181" s="285" t="str">
        <f>IF(Таблица5[[#This Row],[30]]=0,"НД",Таблица5[[#This Row],[20]]-Таблица5[[#This Row],[30]])</f>
        <v>НД</v>
      </c>
      <c r="AI181" s="693" t="str">
        <f>IF(((1-Таблица5[[#This Row],[30]]/Таблица5[[#This Row],[20]])=1),"НД",(1-Таблица5[[#This Row],[30]]/Таблица5[[#This Row],[20]]))</f>
        <v>НД</v>
      </c>
      <c r="AJ181" s="116"/>
      <c r="AK181" s="116"/>
      <c r="AL181" s="694"/>
      <c r="AM181" s="51"/>
      <c r="AN181" s="288"/>
      <c r="AO181" s="377">
        <f>IF(Таблица5[[#This Row],[11]]=0,,MONTH(Таблица5[[#This Row],[11]]))</f>
        <v>0</v>
      </c>
    </row>
    <row r="182" spans="1:41" ht="80.099999999999994" customHeight="1" x14ac:dyDescent="0.25">
      <c r="A182" s="282" t="str">
        <f t="shared" si="2"/>
        <v>0645-00167</v>
      </c>
      <c r="B182" s="282" t="str">
        <f>РПЗ!$D182</f>
        <v xml:space="preserve"> 0645-00167. Постака оборудования для модернизации открытого ЦОД</v>
      </c>
      <c r="C182" s="282" t="str">
        <f>РПЗ!$AA182</f>
        <v>Служба автоматизации производства Егоров Михаил Валентинович 290-02-07</v>
      </c>
      <c r="D182" s="15" t="str">
        <f>РПЗ!$AB182</f>
        <v>ООО "РТ-Информ"</v>
      </c>
      <c r="E182" s="692"/>
      <c r="F182" s="282" t="str">
        <f>РПЗ!Q182</f>
        <v>ОЗК</v>
      </c>
      <c r="G182" s="287"/>
      <c r="H182" s="287" t="str">
        <f>РПЗ!R182</f>
        <v>Да</v>
      </c>
      <c r="I182" s="15" t="str">
        <f>РПЗ!W182</f>
        <v>Не применимо</v>
      </c>
      <c r="J182" s="282" t="str">
        <f>РПЗ!X182</f>
        <v>Не применимо</v>
      </c>
      <c r="K182" s="336" t="str">
        <f>РПЗ!Z182</f>
        <v>Не применимо</v>
      </c>
      <c r="L182" s="17"/>
      <c r="M182" s="18">
        <f>РПЗ!O182</f>
        <v>43009</v>
      </c>
      <c r="N182" s="289"/>
      <c r="O182" s="17"/>
      <c r="P182" s="17"/>
      <c r="Q182" s="17"/>
      <c r="R182" s="17"/>
      <c r="S182" s="17"/>
      <c r="T182" s="17"/>
      <c r="U182" s="18">
        <f>РПЗ!P182</f>
        <v>43100</v>
      </c>
      <c r="V182" s="17"/>
      <c r="W182" s="285">
        <f>РПЗ!L182</f>
        <v>1798310</v>
      </c>
      <c r="X182" s="286"/>
      <c r="Y182" s="286"/>
      <c r="Z182" s="300"/>
      <c r="AA182" s="287"/>
      <c r="AB182" s="116"/>
      <c r="AC182" s="17"/>
      <c r="AD182" s="288"/>
      <c r="AE182" s="17"/>
      <c r="AF182" s="287"/>
      <c r="AG182" s="116"/>
      <c r="AH182" s="285" t="str">
        <f>IF(Таблица5[[#This Row],[30]]=0,"НД",Таблица5[[#This Row],[20]]-Таблица5[[#This Row],[30]])</f>
        <v>НД</v>
      </c>
      <c r="AI182" s="693" t="str">
        <f>IF(((1-Таблица5[[#This Row],[30]]/Таблица5[[#This Row],[20]])=1),"НД",(1-Таблица5[[#This Row],[30]]/Таблица5[[#This Row],[20]]))</f>
        <v>НД</v>
      </c>
      <c r="AJ182" s="116"/>
      <c r="AK182" s="116"/>
      <c r="AL182" s="694"/>
      <c r="AM182" s="51"/>
      <c r="AN182" s="288"/>
      <c r="AO182" s="377">
        <f>IF(Таблица5[[#This Row],[11]]=0,,MONTH(Таблица5[[#This Row],[11]]))</f>
        <v>0</v>
      </c>
    </row>
    <row r="183" spans="1:41" ht="80.099999999999994" customHeight="1" x14ac:dyDescent="0.25">
      <c r="A183" s="282" t="str">
        <f t="shared" si="2"/>
        <v>0645-00168</v>
      </c>
      <c r="B183" s="282" t="str">
        <f>РПЗ!$D183</f>
        <v xml:space="preserve"> 0645-00168. Поставка лицензионного программного обеспечения (СЭД Directum)</v>
      </c>
      <c r="C183" s="282" t="str">
        <f>РПЗ!$AA183</f>
        <v>Служба автоматизации производства Егоров Михаил Валентинович 290-02-07</v>
      </c>
      <c r="D183" s="15" t="str">
        <f>РПЗ!$AB183</f>
        <v>Заказчик</v>
      </c>
      <c r="E183" s="692"/>
      <c r="F183" s="282" t="str">
        <f>РПЗ!Q183</f>
        <v>ОЗК</v>
      </c>
      <c r="G183" s="287"/>
      <c r="H183" s="287" t="str">
        <f>РПЗ!R183</f>
        <v>Да</v>
      </c>
      <c r="I183" s="15" t="str">
        <f>РПЗ!W183</f>
        <v>Не применимо</v>
      </c>
      <c r="J183" s="282" t="str">
        <f>РПЗ!X183</f>
        <v>Не применимо</v>
      </c>
      <c r="K183" s="336" t="str">
        <f>РПЗ!Z183</f>
        <v>Не применимо</v>
      </c>
      <c r="L183" s="17"/>
      <c r="M183" s="18">
        <f>РПЗ!O183</f>
        <v>43009</v>
      </c>
      <c r="N183" s="289"/>
      <c r="O183" s="17"/>
      <c r="P183" s="17"/>
      <c r="Q183" s="17"/>
      <c r="R183" s="17"/>
      <c r="S183" s="17"/>
      <c r="T183" s="17"/>
      <c r="U183" s="18">
        <f>РПЗ!P183</f>
        <v>43100</v>
      </c>
      <c r="V183" s="17"/>
      <c r="W183" s="285">
        <f>РПЗ!L183</f>
        <v>100000</v>
      </c>
      <c r="X183" s="286"/>
      <c r="Y183" s="286"/>
      <c r="Z183" s="300"/>
      <c r="AA183" s="287"/>
      <c r="AB183" s="116"/>
      <c r="AC183" s="17"/>
      <c r="AD183" s="288"/>
      <c r="AE183" s="17"/>
      <c r="AF183" s="287"/>
      <c r="AG183" s="116"/>
      <c r="AH183" s="285" t="str">
        <f>IF(Таблица5[[#This Row],[30]]=0,"НД",Таблица5[[#This Row],[20]]-Таблица5[[#This Row],[30]])</f>
        <v>НД</v>
      </c>
      <c r="AI183" s="693" t="str">
        <f>IF(((1-Таблица5[[#This Row],[30]]/Таблица5[[#This Row],[20]])=1),"НД",(1-Таблица5[[#This Row],[30]]/Таблица5[[#This Row],[20]]))</f>
        <v>НД</v>
      </c>
      <c r="AJ183" s="116"/>
      <c r="AK183" s="116"/>
      <c r="AL183" s="694"/>
      <c r="AM183" s="51"/>
      <c r="AN183" s="288"/>
      <c r="AO183" s="377">
        <f>IF(Таблица5[[#This Row],[11]]=0,,MONTH(Таблица5[[#This Row],[11]]))</f>
        <v>0</v>
      </c>
    </row>
    <row r="184" spans="1:41" ht="80.099999999999994" customHeight="1" x14ac:dyDescent="0.25">
      <c r="A184" s="282" t="str">
        <f t="shared" si="2"/>
        <v>0645-00169</v>
      </c>
      <c r="B184" s="282" t="str">
        <f>РПЗ!$D184</f>
        <v>0645-00169. Поставка лицензионного программного обеспечения (СЭД Аскон Лоцман)</v>
      </c>
      <c r="C184" s="282" t="str">
        <f>РПЗ!$AA184</f>
        <v>Служба автоматизации производства Егоров Михаил Валентинович 290-02-07</v>
      </c>
      <c r="D184" s="15" t="str">
        <f>РПЗ!$AB184</f>
        <v>ГК"Ростех"</v>
      </c>
      <c r="E184" s="692"/>
      <c r="F184" s="282" t="str">
        <f>РПЗ!Q184</f>
        <v>ОЗК</v>
      </c>
      <c r="G184" s="287"/>
      <c r="H184" s="287" t="str">
        <f>РПЗ!R184</f>
        <v>Да</v>
      </c>
      <c r="I184" s="15" t="str">
        <f>РПЗ!W184</f>
        <v>Не применимо</v>
      </c>
      <c r="J184" s="282" t="str">
        <f>РПЗ!X184</f>
        <v>Не применимо</v>
      </c>
      <c r="K184" s="336" t="str">
        <f>РПЗ!Z184</f>
        <v>Не применимо</v>
      </c>
      <c r="L184" s="17"/>
      <c r="M184" s="18">
        <f>РПЗ!O184</f>
        <v>43009</v>
      </c>
      <c r="N184" s="289"/>
      <c r="O184" s="17"/>
      <c r="P184" s="17"/>
      <c r="Q184" s="17"/>
      <c r="R184" s="17"/>
      <c r="S184" s="17"/>
      <c r="T184" s="17"/>
      <c r="U184" s="18">
        <f>РПЗ!P184</f>
        <v>43100</v>
      </c>
      <c r="V184" s="17"/>
      <c r="W184" s="285">
        <f>РПЗ!L184</f>
        <v>150000</v>
      </c>
      <c r="X184" s="286"/>
      <c r="Y184" s="286"/>
      <c r="Z184" s="300"/>
      <c r="AA184" s="287"/>
      <c r="AB184" s="116"/>
      <c r="AC184" s="17"/>
      <c r="AD184" s="288"/>
      <c r="AE184" s="17"/>
      <c r="AF184" s="287"/>
      <c r="AG184" s="116"/>
      <c r="AH184" s="285" t="str">
        <f>IF(Таблица5[[#This Row],[30]]=0,"НД",Таблица5[[#This Row],[20]]-Таблица5[[#This Row],[30]])</f>
        <v>НД</v>
      </c>
      <c r="AI184" s="693" t="str">
        <f>IF(((1-Таблица5[[#This Row],[30]]/Таблица5[[#This Row],[20]])=1),"НД",(1-Таблица5[[#This Row],[30]]/Таблица5[[#This Row],[20]]))</f>
        <v>НД</v>
      </c>
      <c r="AJ184" s="116"/>
      <c r="AK184" s="116"/>
      <c r="AL184" s="694"/>
      <c r="AM184" s="51"/>
      <c r="AN184" s="288"/>
      <c r="AO184" s="377">
        <f>IF(Таблица5[[#This Row],[11]]=0,,MONTH(Таблица5[[#This Row],[11]]))</f>
        <v>0</v>
      </c>
    </row>
    <row r="185" spans="1:41" ht="80.099999999999994" customHeight="1" x14ac:dyDescent="0.25">
      <c r="A185" s="282" t="str">
        <f t="shared" si="2"/>
        <v>0645-00170</v>
      </c>
      <c r="B185" s="282" t="str">
        <f>РПЗ!$D185</f>
        <v>0645-00170. Поставка программного обеспечения для нужд акционерного общества «НПО «Импульс»</v>
      </c>
      <c r="C185" s="282" t="str">
        <f>РПЗ!$AA185</f>
        <v>Служба автоматизации производства Егоров Михаил Валентинович 290-02-07</v>
      </c>
      <c r="D185" s="15" t="str">
        <f>РПЗ!$AB185</f>
        <v>ООО "РТ-Информ"</v>
      </c>
      <c r="E185" s="692"/>
      <c r="F185" s="282" t="str">
        <f>РПЗ!Q185</f>
        <v>ОЗК</v>
      </c>
      <c r="G185" s="287"/>
      <c r="H185" s="287" t="str">
        <f>РПЗ!R185</f>
        <v>Да</v>
      </c>
      <c r="I185" s="15" t="str">
        <f>РПЗ!W185</f>
        <v>Не применимо</v>
      </c>
      <c r="J185" s="282" t="str">
        <f>РПЗ!X185</f>
        <v>Не применимо</v>
      </c>
      <c r="K185" s="336" t="str">
        <f>РПЗ!Z185</f>
        <v>Не применимо</v>
      </c>
      <c r="L185" s="17"/>
      <c r="M185" s="18">
        <f>РПЗ!O185</f>
        <v>42795</v>
      </c>
      <c r="N185" s="289"/>
      <c r="O185" s="17"/>
      <c r="P185" s="17"/>
      <c r="Q185" s="17"/>
      <c r="R185" s="17"/>
      <c r="S185" s="17"/>
      <c r="T185" s="17"/>
      <c r="U185" s="18">
        <f>РПЗ!P185</f>
        <v>42887</v>
      </c>
      <c r="V185" s="17"/>
      <c r="W185" s="285">
        <f>РПЗ!L185</f>
        <v>1701475</v>
      </c>
      <c r="X185" s="286"/>
      <c r="Y185" s="286"/>
      <c r="Z185" s="300"/>
      <c r="AA185" s="287"/>
      <c r="AB185" s="116"/>
      <c r="AC185" s="17"/>
      <c r="AD185" s="288"/>
      <c r="AE185" s="17"/>
      <c r="AF185" s="287"/>
      <c r="AG185" s="116"/>
      <c r="AH185" s="285" t="str">
        <f>IF(Таблица5[[#This Row],[30]]=0,"НД",Таблица5[[#This Row],[20]]-Таблица5[[#This Row],[30]])</f>
        <v>НД</v>
      </c>
      <c r="AI185" s="693" t="str">
        <f>IF(((1-Таблица5[[#This Row],[30]]/Таблица5[[#This Row],[20]])=1),"НД",(1-Таблица5[[#This Row],[30]]/Таблица5[[#This Row],[20]]))</f>
        <v>НД</v>
      </c>
      <c r="AJ185" s="116"/>
      <c r="AK185" s="116"/>
      <c r="AL185" s="694"/>
      <c r="AM185" s="51"/>
      <c r="AN185" s="288"/>
      <c r="AO185" s="377">
        <f>IF(Таблица5[[#This Row],[11]]=0,,MONTH(Таблица5[[#This Row],[11]]))</f>
        <v>0</v>
      </c>
    </row>
    <row r="186" spans="1:41" ht="80.099999999999994" customHeight="1" x14ac:dyDescent="0.25">
      <c r="A186" s="282" t="str">
        <f t="shared" si="2"/>
        <v>0645-00171</v>
      </c>
      <c r="B186" s="282" t="str">
        <f>РПЗ!$D186</f>
        <v>0645-00171. Поставка программного обеспечения для нужд акционерного общества «НПО «Импульс»</v>
      </c>
      <c r="C186" s="282" t="str">
        <f>РПЗ!$AA186</f>
        <v>Служба автоматизации производства Егоров Михаил Валентинович 290-02-07</v>
      </c>
      <c r="D186" s="15" t="str">
        <f>РПЗ!$AB186</f>
        <v>ООО "РТ-Информ"</v>
      </c>
      <c r="E186" s="692"/>
      <c r="F186" s="282" t="str">
        <f>РПЗ!Q186</f>
        <v>ОЗК</v>
      </c>
      <c r="G186" s="287"/>
      <c r="H186" s="287" t="str">
        <f>РПЗ!R186</f>
        <v>Да</v>
      </c>
      <c r="I186" s="15" t="str">
        <f>РПЗ!W186</f>
        <v>Не применимо</v>
      </c>
      <c r="J186" s="282" t="str">
        <f>РПЗ!X186</f>
        <v>Не применимо</v>
      </c>
      <c r="K186" s="336" t="str">
        <f>РПЗ!Z186</f>
        <v>Не применимо</v>
      </c>
      <c r="L186" s="17"/>
      <c r="M186" s="18">
        <f>РПЗ!O186</f>
        <v>42795</v>
      </c>
      <c r="N186" s="289"/>
      <c r="O186" s="17"/>
      <c r="P186" s="17"/>
      <c r="Q186" s="17"/>
      <c r="R186" s="17"/>
      <c r="S186" s="17"/>
      <c r="T186" s="17"/>
      <c r="U186" s="18">
        <f>РПЗ!P186</f>
        <v>42887</v>
      </c>
      <c r="V186" s="17"/>
      <c r="W186" s="285">
        <f>РПЗ!L186</f>
        <v>1365675</v>
      </c>
      <c r="X186" s="286"/>
      <c r="Y186" s="286"/>
      <c r="Z186" s="300"/>
      <c r="AA186" s="287"/>
      <c r="AB186" s="116"/>
      <c r="AC186" s="17"/>
      <c r="AD186" s="288"/>
      <c r="AE186" s="17"/>
      <c r="AF186" s="287"/>
      <c r="AG186" s="116"/>
      <c r="AH186" s="285" t="str">
        <f>IF(Таблица5[[#This Row],[30]]=0,"НД",Таблица5[[#This Row],[20]]-Таблица5[[#This Row],[30]])</f>
        <v>НД</v>
      </c>
      <c r="AI186" s="693" t="str">
        <f>IF(((1-Таблица5[[#This Row],[30]]/Таблица5[[#This Row],[20]])=1),"НД",(1-Таблица5[[#This Row],[30]]/Таблица5[[#This Row],[20]]))</f>
        <v>НД</v>
      </c>
      <c r="AJ186" s="116"/>
      <c r="AK186" s="116"/>
      <c r="AL186" s="694"/>
      <c r="AM186" s="51"/>
      <c r="AN186" s="288"/>
      <c r="AO186" s="377">
        <f>IF(Таблица5[[#This Row],[11]]=0,,MONTH(Таблица5[[#This Row],[11]]))</f>
        <v>0</v>
      </c>
    </row>
    <row r="187" spans="1:41" ht="80.099999999999994" customHeight="1" x14ac:dyDescent="0.25">
      <c r="A187" s="282" t="str">
        <f t="shared" si="2"/>
        <v>0645-00172</v>
      </c>
      <c r="B187" s="282" t="str">
        <f>РПЗ!$D187</f>
        <v>0645-00172. Поставка оборудования для нужд акционерного общества «НПО «Импульс»</v>
      </c>
      <c r="C187" s="282" t="str">
        <f>РПЗ!$AA187</f>
        <v>Служба автоматизации производства Егоров Михаил Валентинович 290-02-07</v>
      </c>
      <c r="D187" s="15" t="str">
        <f>РПЗ!$AB187</f>
        <v>ООО "РТ-Информ"</v>
      </c>
      <c r="E187" s="692"/>
      <c r="F187" s="282" t="str">
        <f>РПЗ!Q187</f>
        <v>ОЗК</v>
      </c>
      <c r="G187" s="287"/>
      <c r="H187" s="287" t="str">
        <f>РПЗ!R187</f>
        <v>Да</v>
      </c>
      <c r="I187" s="15" t="str">
        <f>РПЗ!W187</f>
        <v>Не применимо</v>
      </c>
      <c r="J187" s="282" t="str">
        <f>РПЗ!X187</f>
        <v>Не применимо</v>
      </c>
      <c r="K187" s="336" t="str">
        <f>РПЗ!Z187</f>
        <v>Не применимо</v>
      </c>
      <c r="L187" s="17"/>
      <c r="M187" s="18">
        <f>РПЗ!O187</f>
        <v>42795</v>
      </c>
      <c r="N187" s="289"/>
      <c r="O187" s="17"/>
      <c r="P187" s="17"/>
      <c r="Q187" s="17"/>
      <c r="R187" s="17"/>
      <c r="S187" s="17"/>
      <c r="T187" s="17"/>
      <c r="U187" s="18">
        <f>РПЗ!P187</f>
        <v>42887</v>
      </c>
      <c r="V187" s="17"/>
      <c r="W187" s="285">
        <f>РПЗ!L187</f>
        <v>900000</v>
      </c>
      <c r="X187" s="286"/>
      <c r="Y187" s="286"/>
      <c r="Z187" s="300"/>
      <c r="AA187" s="287"/>
      <c r="AB187" s="116"/>
      <c r="AC187" s="17"/>
      <c r="AD187" s="288"/>
      <c r="AE187" s="17"/>
      <c r="AF187" s="287"/>
      <c r="AG187" s="116"/>
      <c r="AH187" s="285" t="str">
        <f>IF(Таблица5[[#This Row],[30]]=0,"НД",Таблица5[[#This Row],[20]]-Таблица5[[#This Row],[30]])</f>
        <v>НД</v>
      </c>
      <c r="AI187" s="693" t="str">
        <f>IF(((1-Таблица5[[#This Row],[30]]/Таблица5[[#This Row],[20]])=1),"НД",(1-Таблица5[[#This Row],[30]]/Таблица5[[#This Row],[20]]))</f>
        <v>НД</v>
      </c>
      <c r="AJ187" s="116"/>
      <c r="AK187" s="116"/>
      <c r="AL187" s="694"/>
      <c r="AM187" s="51"/>
      <c r="AN187" s="288"/>
      <c r="AO187" s="377">
        <f>IF(Таблица5[[#This Row],[11]]=0,,MONTH(Таблица5[[#This Row],[11]]))</f>
        <v>0</v>
      </c>
    </row>
    <row r="188" spans="1:41" ht="80.099999999999994" customHeight="1" x14ac:dyDescent="0.25">
      <c r="A188" s="282" t="str">
        <f t="shared" si="2"/>
        <v>0645-00173</v>
      </c>
      <c r="B188" s="282" t="str">
        <f>РПЗ!$D188</f>
        <v>0645-00173. Поставка оборудования для нужд акционерного общества «НПО «Импульс»</v>
      </c>
      <c r="C188" s="282" t="str">
        <f>РПЗ!$AA188</f>
        <v>Служба автоматизации производства Егоров Михаил Валентинович 290-02-07</v>
      </c>
      <c r="D188" s="15" t="str">
        <f>РПЗ!$AB188</f>
        <v>ООО "РТ-Информ"</v>
      </c>
      <c r="E188" s="692"/>
      <c r="F188" s="282" t="str">
        <f>РПЗ!Q188</f>
        <v>ОЗК</v>
      </c>
      <c r="G188" s="287"/>
      <c r="H188" s="287" t="str">
        <f>РПЗ!R188</f>
        <v>Да</v>
      </c>
      <c r="I188" s="15" t="str">
        <f>РПЗ!W188</f>
        <v>Не применимо</v>
      </c>
      <c r="J188" s="282" t="str">
        <f>РПЗ!X188</f>
        <v>Не применимо</v>
      </c>
      <c r="K188" s="336" t="str">
        <f>РПЗ!Z188</f>
        <v>Не применимо</v>
      </c>
      <c r="L188" s="17"/>
      <c r="M188" s="18">
        <f>РПЗ!O188</f>
        <v>42795</v>
      </c>
      <c r="N188" s="289"/>
      <c r="O188" s="17"/>
      <c r="P188" s="17"/>
      <c r="Q188" s="17"/>
      <c r="R188" s="17"/>
      <c r="S188" s="17"/>
      <c r="T188" s="17"/>
      <c r="U188" s="18">
        <f>РПЗ!P188</f>
        <v>42887</v>
      </c>
      <c r="V188" s="17"/>
      <c r="W188" s="285">
        <f>РПЗ!L188</f>
        <v>1520000</v>
      </c>
      <c r="X188" s="286"/>
      <c r="Y188" s="286"/>
      <c r="Z188" s="300"/>
      <c r="AA188" s="287"/>
      <c r="AB188" s="116"/>
      <c r="AC188" s="17"/>
      <c r="AD188" s="288"/>
      <c r="AE188" s="17"/>
      <c r="AF188" s="287"/>
      <c r="AG188" s="116"/>
      <c r="AH188" s="285" t="str">
        <f>IF(Таблица5[[#This Row],[30]]=0,"НД",Таблица5[[#This Row],[20]]-Таблица5[[#This Row],[30]])</f>
        <v>НД</v>
      </c>
      <c r="AI188" s="693" t="str">
        <f>IF(((1-Таблица5[[#This Row],[30]]/Таблица5[[#This Row],[20]])=1),"НД",(1-Таблица5[[#This Row],[30]]/Таблица5[[#This Row],[20]]))</f>
        <v>НД</v>
      </c>
      <c r="AJ188" s="116"/>
      <c r="AK188" s="116"/>
      <c r="AL188" s="694"/>
      <c r="AM188" s="51"/>
      <c r="AN188" s="288"/>
      <c r="AO188" s="377">
        <f>IF(Таблица5[[#This Row],[11]]=0,,MONTH(Таблица5[[#This Row],[11]]))</f>
        <v>0</v>
      </c>
    </row>
    <row r="189" spans="1:41" ht="80.099999999999994" customHeight="1" x14ac:dyDescent="0.25">
      <c r="A189" s="282" t="str">
        <f t="shared" si="2"/>
        <v>0645-00174</v>
      </c>
      <c r="B189" s="282" t="str">
        <f>РПЗ!$D189</f>
        <v>0645-00175. Проведение сертификационных испытаний изделия 7т3-И ИМНЕ.461261.017 на соответствие криптографическим, инженерно-криптографическим и специальным требованиям</v>
      </c>
      <c r="C189" s="282" t="str">
        <f>РПЗ!$AA189</f>
        <v>НТЦ-1 Бородулин Л.А.</v>
      </c>
      <c r="D189" s="15" t="str">
        <f>РПЗ!$AB189</f>
        <v>Заказчик</v>
      </c>
      <c r="E189" s="692"/>
      <c r="F189" s="282" t="str">
        <f>РПЗ!Q189</f>
        <v>ЕП</v>
      </c>
      <c r="G189" s="287"/>
      <c r="H189" s="287" t="str">
        <f>РПЗ!R189</f>
        <v>Нет</v>
      </c>
      <c r="I189" s="15" t="str">
        <f>РПЗ!W189</f>
        <v>6.6.2(7)</v>
      </c>
      <c r="J189" s="282">
        <f>РПЗ!X189</f>
        <v>7705163656</v>
      </c>
      <c r="K189" s="336">
        <f>РПЗ!Z189</f>
        <v>800000</v>
      </c>
      <c r="L189" s="17"/>
      <c r="M189" s="18">
        <f>РПЗ!O189</f>
        <v>42736</v>
      </c>
      <c r="N189" s="289"/>
      <c r="O189" s="17"/>
      <c r="P189" s="17"/>
      <c r="Q189" s="17"/>
      <c r="R189" s="17"/>
      <c r="S189" s="17"/>
      <c r="T189" s="17"/>
      <c r="U189" s="18">
        <f>РПЗ!P189</f>
        <v>42887</v>
      </c>
      <c r="V189" s="17"/>
      <c r="W189" s="285">
        <f>РПЗ!L189</f>
        <v>800000</v>
      </c>
      <c r="X189" s="286"/>
      <c r="Y189" s="286"/>
      <c r="Z189" s="300"/>
      <c r="AA189" s="287"/>
      <c r="AB189" s="116"/>
      <c r="AC189" s="17"/>
      <c r="AD189" s="288"/>
      <c r="AE189" s="17"/>
      <c r="AF189" s="287"/>
      <c r="AG189" s="116"/>
      <c r="AH189" s="285" t="str">
        <f>IF(Таблица5[[#This Row],[30]]=0,"НД",Таблица5[[#This Row],[20]]-Таблица5[[#This Row],[30]])</f>
        <v>НД</v>
      </c>
      <c r="AI189" s="693" t="str">
        <f>IF(((1-Таблица5[[#This Row],[30]]/Таблица5[[#This Row],[20]])=1),"НД",(1-Таблица5[[#This Row],[30]]/Таблица5[[#This Row],[20]]))</f>
        <v>НД</v>
      </c>
      <c r="AJ189" s="116"/>
      <c r="AK189" s="116"/>
      <c r="AL189" s="694"/>
      <c r="AM189" s="51"/>
      <c r="AN189" s="288"/>
      <c r="AO189" s="377">
        <f>IF(Таблица5[[#This Row],[11]]=0,,MONTH(Таблица5[[#This Row],[11]]))</f>
        <v>0</v>
      </c>
    </row>
    <row r="190" spans="1:41" ht="80.099999999999994" customHeight="1" x14ac:dyDescent="0.25">
      <c r="A190" s="282" t="str">
        <f t="shared" si="2"/>
        <v>0645-00175</v>
      </c>
      <c r="B190" s="282" t="str">
        <f>РПЗ!$D190</f>
        <v>0645-00175. Проведение сертификационных испытаний изделия 7т3-И ИМНЕ.461261.017 на соответствие требованиям по контролю отсутствия недекларированных вожможностей</v>
      </c>
      <c r="C190" s="282" t="str">
        <f>РПЗ!$AA190</f>
        <v>НТЦ-1 Бородулин Л.А.</v>
      </c>
      <c r="D190" s="15" t="str">
        <f>РПЗ!$AB190</f>
        <v>Заказчик</v>
      </c>
      <c r="E190" s="692"/>
      <c r="F190" s="282" t="str">
        <f>РПЗ!Q190</f>
        <v>ЕП</v>
      </c>
      <c r="G190" s="287"/>
      <c r="H190" s="287" t="str">
        <f>РПЗ!R190</f>
        <v>Нет</v>
      </c>
      <c r="I190" s="15" t="str">
        <f>РПЗ!W190</f>
        <v>6.6.2(7)</v>
      </c>
      <c r="J190" s="282">
        <f>РПЗ!X190</f>
        <v>7804302727</v>
      </c>
      <c r="K190" s="336">
        <f>РПЗ!Z190</f>
        <v>3000000</v>
      </c>
      <c r="L190" s="17"/>
      <c r="M190" s="18">
        <f>РПЗ!O190</f>
        <v>42736</v>
      </c>
      <c r="N190" s="289"/>
      <c r="O190" s="17"/>
      <c r="P190" s="17"/>
      <c r="Q190" s="17"/>
      <c r="R190" s="17"/>
      <c r="S190" s="17"/>
      <c r="T190" s="17"/>
      <c r="U190" s="18">
        <f>РПЗ!P190</f>
        <v>42887</v>
      </c>
      <c r="V190" s="17"/>
      <c r="W190" s="285">
        <f>РПЗ!L190</f>
        <v>3000000</v>
      </c>
      <c r="X190" s="286"/>
      <c r="Y190" s="286"/>
      <c r="Z190" s="300"/>
      <c r="AA190" s="287"/>
      <c r="AB190" s="116"/>
      <c r="AC190" s="17"/>
      <c r="AD190" s="288"/>
      <c r="AE190" s="17"/>
      <c r="AF190" s="287"/>
      <c r="AG190" s="116"/>
      <c r="AH190" s="285" t="str">
        <f>IF(Таблица5[[#This Row],[30]]=0,"НД",Таблица5[[#This Row],[20]]-Таблица5[[#This Row],[30]])</f>
        <v>НД</v>
      </c>
      <c r="AI190" s="693" t="str">
        <f>IF(((1-Таблица5[[#This Row],[30]]/Таблица5[[#This Row],[20]])=1),"НД",(1-Таблица5[[#This Row],[30]]/Таблица5[[#This Row],[20]]))</f>
        <v>НД</v>
      </c>
      <c r="AJ190" s="116"/>
      <c r="AK190" s="116"/>
      <c r="AL190" s="694"/>
      <c r="AM190" s="51"/>
      <c r="AN190" s="288"/>
      <c r="AO190" s="377">
        <f>IF(Таблица5[[#This Row],[11]]=0,,MONTH(Таблица5[[#This Row],[11]]))</f>
        <v>0</v>
      </c>
    </row>
    <row r="191" spans="1:41" ht="80.099999999999994" customHeight="1" x14ac:dyDescent="0.25">
      <c r="A191" s="282" t="str">
        <f t="shared" si="2"/>
        <v>0645-00176</v>
      </c>
      <c r="B191" s="282" t="str">
        <f>РПЗ!$D191</f>
        <v>0645-00176. Проведение специальных работ с ОШС</v>
      </c>
      <c r="C191" s="282" t="str">
        <f>РПЗ!$AA191</f>
        <v>НТЦ-6  Зубрицкий А.Н.</v>
      </c>
      <c r="D191" s="15" t="str">
        <f>РПЗ!$AB191</f>
        <v>Заказчик</v>
      </c>
      <c r="E191" s="692"/>
      <c r="F191" s="282" t="str">
        <f>РПЗ!Q191</f>
        <v>ЕП</v>
      </c>
      <c r="G191" s="287"/>
      <c r="H191" s="287" t="str">
        <f>РПЗ!R191</f>
        <v>Нет</v>
      </c>
      <c r="I191" s="15" t="str">
        <f>РПЗ!W191</f>
        <v>6.6.2(7)</v>
      </c>
      <c r="J191" s="282">
        <f>РПЗ!X191</f>
        <v>7804541789</v>
      </c>
      <c r="K191" s="336">
        <f>РПЗ!Z191</f>
        <v>1000000</v>
      </c>
      <c r="L191" s="17"/>
      <c r="M191" s="18">
        <f>РПЗ!O191</f>
        <v>42736</v>
      </c>
      <c r="N191" s="289"/>
      <c r="O191" s="17"/>
      <c r="P191" s="17"/>
      <c r="Q191" s="17"/>
      <c r="R191" s="17"/>
      <c r="S191" s="17"/>
      <c r="T191" s="17"/>
      <c r="U191" s="18">
        <f>РПЗ!P191</f>
        <v>42887</v>
      </c>
      <c r="V191" s="17"/>
      <c r="W191" s="285">
        <f>РПЗ!L191</f>
        <v>1000000</v>
      </c>
      <c r="X191" s="286"/>
      <c r="Y191" s="286"/>
      <c r="Z191" s="300"/>
      <c r="AA191" s="287"/>
      <c r="AB191" s="116"/>
      <c r="AC191" s="17"/>
      <c r="AD191" s="288"/>
      <c r="AE191" s="17"/>
      <c r="AF191" s="287"/>
      <c r="AG191" s="116"/>
      <c r="AH191" s="285" t="str">
        <f>IF(Таблица5[[#This Row],[30]]=0,"НД",Таблица5[[#This Row],[20]]-Таблица5[[#This Row],[30]])</f>
        <v>НД</v>
      </c>
      <c r="AI191" s="693" t="str">
        <f>IF(((1-Таблица5[[#This Row],[30]]/Таблица5[[#This Row],[20]])=1),"НД",(1-Таблица5[[#This Row],[30]]/Таблица5[[#This Row],[20]]))</f>
        <v>НД</v>
      </c>
      <c r="AJ191" s="116"/>
      <c r="AK191" s="116"/>
      <c r="AL191" s="694"/>
      <c r="AM191" s="51"/>
      <c r="AN191" s="288"/>
      <c r="AO191" s="377">
        <f>IF(Таблица5[[#This Row],[11]]=0,,MONTH(Таблица5[[#This Row],[11]]))</f>
        <v>0</v>
      </c>
    </row>
    <row r="192" spans="1:41" ht="80.099999999999994" customHeight="1" x14ac:dyDescent="0.25">
      <c r="A192" s="282" t="str">
        <f t="shared" si="2"/>
        <v>0645-00177</v>
      </c>
      <c r="B192" s="282" t="str">
        <f>РПЗ!$D192</f>
        <v>0645-00177. Сертификация СПО издлия КСА-МТ</v>
      </c>
      <c r="C192" s="282" t="str">
        <f>РПЗ!$AA192</f>
        <v>НТЦ-1                      Волков Г.Н.</v>
      </c>
      <c r="D192" s="15" t="str">
        <f>РПЗ!$AB192</f>
        <v>Заказчик</v>
      </c>
      <c r="E192" s="692"/>
      <c r="F192" s="282" t="str">
        <f>РПЗ!Q192</f>
        <v>ЕП</v>
      </c>
      <c r="G192" s="287"/>
      <c r="H192" s="287" t="str">
        <f>РПЗ!R192</f>
        <v>Нет</v>
      </c>
      <c r="I192" s="15" t="str">
        <f>РПЗ!W192</f>
        <v>6.6.2(7)</v>
      </c>
      <c r="J192" s="282">
        <f>РПЗ!X192</f>
        <v>7804302727</v>
      </c>
      <c r="K192" s="336">
        <f>РПЗ!Z192</f>
        <v>1000000</v>
      </c>
      <c r="L192" s="17"/>
      <c r="M192" s="18">
        <f>РПЗ!O192</f>
        <v>42826</v>
      </c>
      <c r="N192" s="289"/>
      <c r="O192" s="17"/>
      <c r="P192" s="17"/>
      <c r="Q192" s="17"/>
      <c r="R192" s="17"/>
      <c r="S192" s="17"/>
      <c r="T192" s="17"/>
      <c r="U192" s="18">
        <f>РПЗ!P192</f>
        <v>43040</v>
      </c>
      <c r="V192" s="17"/>
      <c r="W192" s="285">
        <f>РПЗ!L192</f>
        <v>1000000</v>
      </c>
      <c r="X192" s="286"/>
      <c r="Y192" s="286"/>
      <c r="Z192" s="300"/>
      <c r="AA192" s="287"/>
      <c r="AB192" s="116"/>
      <c r="AC192" s="17"/>
      <c r="AD192" s="288"/>
      <c r="AE192" s="17"/>
      <c r="AF192" s="287"/>
      <c r="AG192" s="116"/>
      <c r="AH192" s="285" t="str">
        <f>IF(Таблица5[[#This Row],[30]]=0,"НД",Таблица5[[#This Row],[20]]-Таблица5[[#This Row],[30]])</f>
        <v>НД</v>
      </c>
      <c r="AI192" s="693" t="str">
        <f>IF(((1-Таблица5[[#This Row],[30]]/Таблица5[[#This Row],[20]])=1),"НД",(1-Таблица5[[#This Row],[30]]/Таблица5[[#This Row],[20]]))</f>
        <v>НД</v>
      </c>
      <c r="AJ192" s="116"/>
      <c r="AK192" s="116"/>
      <c r="AL192" s="694"/>
      <c r="AM192" s="51"/>
      <c r="AN192" s="288"/>
      <c r="AO192" s="377">
        <f>IF(Таблица5[[#This Row],[11]]=0,,MONTH(Таблица5[[#This Row],[11]]))</f>
        <v>0</v>
      </c>
    </row>
    <row r="193" spans="1:41" ht="80.099999999999994" customHeight="1" x14ac:dyDescent="0.25">
      <c r="A193" s="282" t="str">
        <f t="shared" si="2"/>
        <v>0645-00178</v>
      </c>
      <c r="B193" s="282" t="str">
        <f>РПЗ!$D193</f>
        <v>0645-00178. Проведение сертификационных испытаний изделия КСА-МТ по специальным вопросам</v>
      </c>
      <c r="C193" s="282" t="str">
        <f>РПЗ!$AA193</f>
        <v>НТЦ-1                          Волков Г.Н.</v>
      </c>
      <c r="D193" s="15" t="str">
        <f>РПЗ!$AB193</f>
        <v>Заказчик</v>
      </c>
      <c r="E193" s="692"/>
      <c r="F193" s="282" t="str">
        <f>РПЗ!Q193</f>
        <v>ЕП</v>
      </c>
      <c r="G193" s="287"/>
      <c r="H193" s="287" t="str">
        <f>РПЗ!R193</f>
        <v>Нет</v>
      </c>
      <c r="I193" s="15" t="str">
        <f>РПЗ!W193</f>
        <v>6.6.2(7)</v>
      </c>
      <c r="J193" s="282">
        <f>РПЗ!X193</f>
        <v>7705163656</v>
      </c>
      <c r="K193" s="336">
        <f>РПЗ!Z193</f>
        <v>1000000</v>
      </c>
      <c r="L193" s="17"/>
      <c r="M193" s="18">
        <f>РПЗ!O193</f>
        <v>42826</v>
      </c>
      <c r="N193" s="289"/>
      <c r="O193" s="17"/>
      <c r="P193" s="17"/>
      <c r="Q193" s="17"/>
      <c r="R193" s="17"/>
      <c r="S193" s="17"/>
      <c r="T193" s="17"/>
      <c r="U193" s="18">
        <f>РПЗ!P193</f>
        <v>43040</v>
      </c>
      <c r="V193" s="17"/>
      <c r="W193" s="285">
        <f>РПЗ!L193</f>
        <v>1000000</v>
      </c>
      <c r="X193" s="286"/>
      <c r="Y193" s="286"/>
      <c r="Z193" s="300"/>
      <c r="AA193" s="287"/>
      <c r="AB193" s="116"/>
      <c r="AC193" s="17"/>
      <c r="AD193" s="288"/>
      <c r="AE193" s="17"/>
      <c r="AF193" s="287"/>
      <c r="AG193" s="116"/>
      <c r="AH193" s="285" t="str">
        <f>IF(Таблица5[[#This Row],[30]]=0,"НД",Таблица5[[#This Row],[20]]-Таблица5[[#This Row],[30]])</f>
        <v>НД</v>
      </c>
      <c r="AI193" s="693" t="str">
        <f>IF(((1-Таблица5[[#This Row],[30]]/Таблица5[[#This Row],[20]])=1),"НД",(1-Таблица5[[#This Row],[30]]/Таблица5[[#This Row],[20]]))</f>
        <v>НД</v>
      </c>
      <c r="AJ193" s="116"/>
      <c r="AK193" s="116"/>
      <c r="AL193" s="694"/>
      <c r="AM193" s="51"/>
      <c r="AN193" s="288"/>
      <c r="AO193" s="377">
        <f>IF(Таблица5[[#This Row],[11]]=0,,MONTH(Таблица5[[#This Row],[11]]))</f>
        <v>0</v>
      </c>
    </row>
    <row r="194" spans="1:41" ht="80.099999999999994" customHeight="1" x14ac:dyDescent="0.25">
      <c r="A194" s="282" t="str">
        <f t="shared" si="2"/>
        <v>0645-00179</v>
      </c>
      <c r="B194" s="282" t="str">
        <f>РПЗ!$D194</f>
        <v xml:space="preserve">0645-00179. Корректировка БИС по результатам КОИ и ЭРТИ. </v>
      </c>
      <c r="C194" s="282" t="str">
        <f>РПЗ!$AA194</f>
        <v>НТЦ-1 Штогрин И.Р.</v>
      </c>
      <c r="D194" s="15" t="str">
        <f>РПЗ!$AB194</f>
        <v>Заказчик</v>
      </c>
      <c r="E194" s="692"/>
      <c r="F194" s="282" t="str">
        <f>РПЗ!Q194</f>
        <v>ОЗК</v>
      </c>
      <c r="G194" s="287"/>
      <c r="H194" s="287" t="str">
        <f>РПЗ!R194</f>
        <v>да</v>
      </c>
      <c r="I194" s="15" t="str">
        <f>РПЗ!W194</f>
        <v>Не применимо</v>
      </c>
      <c r="J194" s="282" t="str">
        <f>РПЗ!X194</f>
        <v>Не применимо</v>
      </c>
      <c r="K194" s="336" t="str">
        <f>РПЗ!Z194</f>
        <v>Не применимо</v>
      </c>
      <c r="L194" s="17"/>
      <c r="M194" s="18">
        <f>РПЗ!O194</f>
        <v>42736</v>
      </c>
      <c r="N194" s="289"/>
      <c r="O194" s="17"/>
      <c r="P194" s="17"/>
      <c r="Q194" s="17"/>
      <c r="R194" s="17"/>
      <c r="S194" s="17"/>
      <c r="T194" s="17"/>
      <c r="U194" s="18">
        <f>РПЗ!P194</f>
        <v>42887</v>
      </c>
      <c r="V194" s="17"/>
      <c r="W194" s="285">
        <f>РПЗ!L194</f>
        <v>4200000</v>
      </c>
      <c r="X194" s="286"/>
      <c r="Y194" s="286"/>
      <c r="Z194" s="300"/>
      <c r="AA194" s="287"/>
      <c r="AB194" s="116"/>
      <c r="AC194" s="17"/>
      <c r="AD194" s="288"/>
      <c r="AE194" s="17"/>
      <c r="AF194" s="287"/>
      <c r="AG194" s="116"/>
      <c r="AH194" s="285" t="str">
        <f>IF(Таблица5[[#This Row],[30]]=0,"НД",Таблица5[[#This Row],[20]]-Таблица5[[#This Row],[30]])</f>
        <v>НД</v>
      </c>
      <c r="AI194" s="693" t="str">
        <f>IF(((1-Таблица5[[#This Row],[30]]/Таблица5[[#This Row],[20]])=1),"НД",(1-Таблица5[[#This Row],[30]]/Таблица5[[#This Row],[20]]))</f>
        <v>НД</v>
      </c>
      <c r="AJ194" s="116"/>
      <c r="AK194" s="116"/>
      <c r="AL194" s="694"/>
      <c r="AM194" s="51"/>
      <c r="AN194" s="288"/>
      <c r="AO194" s="377">
        <f>IF(Таблица5[[#This Row],[11]]=0,,MONTH(Таблица5[[#This Row],[11]]))</f>
        <v>0</v>
      </c>
    </row>
    <row r="195" spans="1:41" ht="80.099999999999994" customHeight="1" x14ac:dyDescent="0.25">
      <c r="A195" s="282" t="str">
        <f t="shared" si="2"/>
        <v>0645-00180</v>
      </c>
      <c r="B195" s="282" t="str">
        <f>РПЗ!$D195</f>
        <v>0645-00180. Испытания изделия 15Э1827 (в части блока БВМ)</v>
      </c>
      <c r="C195" s="282" t="str">
        <f>РПЗ!$AA195</f>
        <v>НТЦ-1 Штогрин И.Р.</v>
      </c>
      <c r="D195" s="15" t="str">
        <f>РПЗ!$AB195</f>
        <v>Заказчик</v>
      </c>
      <c r="E195" s="692"/>
      <c r="F195" s="282" t="str">
        <f>РПЗ!Q195</f>
        <v>ОЗК</v>
      </c>
      <c r="G195" s="287"/>
      <c r="H195" s="287" t="str">
        <f>РПЗ!R195</f>
        <v>да</v>
      </c>
      <c r="I195" s="15" t="str">
        <f>РПЗ!W195</f>
        <v>Не применимо</v>
      </c>
      <c r="J195" s="282" t="str">
        <f>РПЗ!X195</f>
        <v>Не применимо</v>
      </c>
      <c r="K195" s="336" t="str">
        <f>РПЗ!Z195</f>
        <v>Не применимо</v>
      </c>
      <c r="L195" s="17"/>
      <c r="M195" s="18">
        <f>РПЗ!O195</f>
        <v>42736</v>
      </c>
      <c r="N195" s="289"/>
      <c r="O195" s="17"/>
      <c r="P195" s="17"/>
      <c r="Q195" s="17"/>
      <c r="R195" s="17"/>
      <c r="S195" s="17"/>
      <c r="T195" s="17"/>
      <c r="U195" s="18">
        <f>РПЗ!P195</f>
        <v>42795</v>
      </c>
      <c r="V195" s="17"/>
      <c r="W195" s="285">
        <f>РПЗ!L195</f>
        <v>4500000</v>
      </c>
      <c r="X195" s="286"/>
      <c r="Y195" s="286"/>
      <c r="Z195" s="300"/>
      <c r="AA195" s="287"/>
      <c r="AB195" s="116"/>
      <c r="AC195" s="17"/>
      <c r="AD195" s="288"/>
      <c r="AE195" s="17"/>
      <c r="AF195" s="287"/>
      <c r="AG195" s="116"/>
      <c r="AH195" s="285" t="str">
        <f>IF(Таблица5[[#This Row],[30]]=0,"НД",Таблица5[[#This Row],[20]]-Таблица5[[#This Row],[30]])</f>
        <v>НД</v>
      </c>
      <c r="AI195" s="693" t="str">
        <f>IF(((1-Таблица5[[#This Row],[30]]/Таблица5[[#This Row],[20]])=1),"НД",(1-Таблица5[[#This Row],[30]]/Таблица5[[#This Row],[20]]))</f>
        <v>НД</v>
      </c>
      <c r="AJ195" s="116"/>
      <c r="AK195" s="116"/>
      <c r="AL195" s="694"/>
      <c r="AM195" s="51"/>
      <c r="AN195" s="288"/>
      <c r="AO195" s="377">
        <f>IF(Таблица5[[#This Row],[11]]=0,,MONTH(Таблица5[[#This Row],[11]]))</f>
        <v>0</v>
      </c>
    </row>
    <row r="196" spans="1:41" ht="80.099999999999994" customHeight="1" x14ac:dyDescent="0.25">
      <c r="A196" s="282" t="str">
        <f t="shared" si="2"/>
        <v>0645-00181</v>
      </c>
      <c r="B196" s="282" t="str">
        <f>РПЗ!$D196</f>
        <v>0645-00181. ТИ изделия 14Р735</v>
      </c>
      <c r="C196" s="282" t="str">
        <f>РПЗ!$AA196</f>
        <v>НТЦ-1 Штогрин И.Р.</v>
      </c>
      <c r="D196" s="15" t="str">
        <f>РПЗ!$AB196</f>
        <v>Заказчик</v>
      </c>
      <c r="E196" s="692"/>
      <c r="F196" s="282" t="str">
        <f>РПЗ!Q196</f>
        <v>ОЗК</v>
      </c>
      <c r="G196" s="287"/>
      <c r="H196" s="287" t="str">
        <f>РПЗ!R196</f>
        <v>да</v>
      </c>
      <c r="I196" s="15" t="str">
        <f>РПЗ!W196</f>
        <v>Не применимо</v>
      </c>
      <c r="J196" s="282" t="str">
        <f>РПЗ!X196</f>
        <v>Не применимо</v>
      </c>
      <c r="K196" s="336" t="str">
        <f>РПЗ!Z196</f>
        <v>Не применимо</v>
      </c>
      <c r="L196" s="17"/>
      <c r="M196" s="18">
        <f>РПЗ!O196</f>
        <v>42736</v>
      </c>
      <c r="N196" s="289"/>
      <c r="O196" s="17"/>
      <c r="P196" s="17"/>
      <c r="Q196" s="17"/>
      <c r="R196" s="17"/>
      <c r="S196" s="17"/>
      <c r="T196" s="17"/>
      <c r="U196" s="18">
        <f>РПЗ!P196</f>
        <v>42887</v>
      </c>
      <c r="V196" s="17"/>
      <c r="W196" s="285">
        <f>РПЗ!L196</f>
        <v>3000000</v>
      </c>
      <c r="X196" s="286"/>
      <c r="Y196" s="286"/>
      <c r="Z196" s="300"/>
      <c r="AA196" s="287"/>
      <c r="AB196" s="116"/>
      <c r="AC196" s="17"/>
      <c r="AD196" s="288"/>
      <c r="AE196" s="17"/>
      <c r="AF196" s="287"/>
      <c r="AG196" s="116"/>
      <c r="AH196" s="285" t="str">
        <f>IF(Таблица5[[#This Row],[30]]=0,"НД",Таблица5[[#This Row],[20]]-Таблица5[[#This Row],[30]])</f>
        <v>НД</v>
      </c>
      <c r="AI196" s="693" t="str">
        <f>IF(((1-Таблица5[[#This Row],[30]]/Таблица5[[#This Row],[20]])=1),"НД",(1-Таблица5[[#This Row],[30]]/Таблица5[[#This Row],[20]]))</f>
        <v>НД</v>
      </c>
      <c r="AJ196" s="116"/>
      <c r="AK196" s="116"/>
      <c r="AL196" s="694"/>
      <c r="AM196" s="51"/>
      <c r="AN196" s="288"/>
      <c r="AO196" s="377">
        <f>IF(Таблица5[[#This Row],[11]]=0,,MONTH(Таблица5[[#This Row],[11]]))</f>
        <v>0</v>
      </c>
    </row>
    <row r="197" spans="1:41" ht="80.099999999999994" customHeight="1" x14ac:dyDescent="0.25">
      <c r="A197" s="282" t="str">
        <f t="shared" si="2"/>
        <v>0645-00182</v>
      </c>
      <c r="B197" s="282" t="str">
        <f>РПЗ!$D197</f>
        <v>0645-00182. Проверки БИС БМК</v>
      </c>
      <c r="C197" s="282" t="str">
        <f>РПЗ!$AA197</f>
        <v>ОЗ</v>
      </c>
      <c r="D197" s="15" t="str">
        <f>РПЗ!$AB197</f>
        <v>Заказчик</v>
      </c>
      <c r="E197" s="692"/>
      <c r="F197" s="282" t="str">
        <f>РПЗ!Q197</f>
        <v>ОЗК</v>
      </c>
      <c r="G197" s="287"/>
      <c r="H197" s="287" t="str">
        <f>РПЗ!R197</f>
        <v>да</v>
      </c>
      <c r="I197" s="15" t="str">
        <f>РПЗ!W197</f>
        <v>Не применимо</v>
      </c>
      <c r="J197" s="282" t="str">
        <f>РПЗ!X197</f>
        <v>Не применимо</v>
      </c>
      <c r="K197" s="336" t="str">
        <f>РПЗ!Z197</f>
        <v>Не применимо</v>
      </c>
      <c r="L197" s="17"/>
      <c r="M197" s="18">
        <f>РПЗ!O197</f>
        <v>42736</v>
      </c>
      <c r="N197" s="289"/>
      <c r="O197" s="17"/>
      <c r="P197" s="17"/>
      <c r="Q197" s="17"/>
      <c r="R197" s="17"/>
      <c r="S197" s="17"/>
      <c r="T197" s="17"/>
      <c r="U197" s="18">
        <f>РПЗ!P197</f>
        <v>42887</v>
      </c>
      <c r="V197" s="17"/>
      <c r="W197" s="285">
        <f>РПЗ!L197</f>
        <v>3000000</v>
      </c>
      <c r="X197" s="286"/>
      <c r="Y197" s="286"/>
      <c r="Z197" s="300"/>
      <c r="AA197" s="287"/>
      <c r="AB197" s="116"/>
      <c r="AC197" s="17"/>
      <c r="AD197" s="288"/>
      <c r="AE197" s="17"/>
      <c r="AF197" s="287"/>
      <c r="AG197" s="116"/>
      <c r="AH197" s="285" t="str">
        <f>IF(Таблица5[[#This Row],[30]]=0,"НД",Таблица5[[#This Row],[20]]-Таблица5[[#This Row],[30]])</f>
        <v>НД</v>
      </c>
      <c r="AI197" s="693" t="str">
        <f>IF(((1-Таблица5[[#This Row],[30]]/Таблица5[[#This Row],[20]])=1),"НД",(1-Таблица5[[#This Row],[30]]/Таблица5[[#This Row],[20]]))</f>
        <v>НД</v>
      </c>
      <c r="AJ197" s="116"/>
      <c r="AK197" s="116"/>
      <c r="AL197" s="694"/>
      <c r="AM197" s="51"/>
      <c r="AN197" s="288"/>
      <c r="AO197" s="377">
        <f>IF(Таблица5[[#This Row],[11]]=0,,MONTH(Таблица5[[#This Row],[11]]))</f>
        <v>0</v>
      </c>
    </row>
    <row r="198" spans="1:41" ht="80.099999999999994" customHeight="1" x14ac:dyDescent="0.25">
      <c r="A198" s="282" t="str">
        <f t="shared" si="2"/>
        <v>0645-00183</v>
      </c>
      <c r="B198" s="282" t="str">
        <f>РПЗ!$D198</f>
        <v>0645-00183. Оказание услуг по проведению сертификационных испытаний изделия 15Н1953 ИМНЕ.461111.053 по специальным вопросам</v>
      </c>
      <c r="C198" s="282" t="str">
        <f>РПЗ!$AA198</f>
        <v>НТЦ-1 Штогрин И.Р.</v>
      </c>
      <c r="D198" s="15" t="str">
        <f>РПЗ!$AB198</f>
        <v>Заказчик</v>
      </c>
      <c r="E198" s="692"/>
      <c r="F198" s="282" t="str">
        <f>РПЗ!Q198</f>
        <v>ОЗК</v>
      </c>
      <c r="G198" s="287"/>
      <c r="H198" s="287" t="str">
        <f>РПЗ!R198</f>
        <v>да</v>
      </c>
      <c r="I198" s="15" t="str">
        <f>РПЗ!W198</f>
        <v>Не применимо</v>
      </c>
      <c r="J198" s="282" t="str">
        <f>РПЗ!X198</f>
        <v>Не применимо</v>
      </c>
      <c r="K198" s="336" t="str">
        <f>РПЗ!Z198</f>
        <v>Не применимо</v>
      </c>
      <c r="L198" s="17"/>
      <c r="M198" s="18">
        <f>РПЗ!O198</f>
        <v>42736</v>
      </c>
      <c r="N198" s="289"/>
      <c r="O198" s="17"/>
      <c r="P198" s="17"/>
      <c r="Q198" s="17"/>
      <c r="R198" s="17"/>
      <c r="S198" s="17"/>
      <c r="T198" s="17"/>
      <c r="U198" s="18">
        <f>РПЗ!P198</f>
        <v>42826</v>
      </c>
      <c r="V198" s="17"/>
      <c r="W198" s="285">
        <f>РПЗ!L198</f>
        <v>1800000</v>
      </c>
      <c r="X198" s="286"/>
      <c r="Y198" s="286"/>
      <c r="Z198" s="300"/>
      <c r="AA198" s="287"/>
      <c r="AB198" s="116"/>
      <c r="AC198" s="17"/>
      <c r="AD198" s="288"/>
      <c r="AE198" s="17"/>
      <c r="AF198" s="287"/>
      <c r="AG198" s="116"/>
      <c r="AH198" s="285" t="str">
        <f>IF(Таблица5[[#This Row],[30]]=0,"НД",Таблица5[[#This Row],[20]]-Таблица5[[#This Row],[30]])</f>
        <v>НД</v>
      </c>
      <c r="AI198" s="693" t="str">
        <f>IF(((1-Таблица5[[#This Row],[30]]/Таблица5[[#This Row],[20]])=1),"НД",(1-Таблица5[[#This Row],[30]]/Таблица5[[#This Row],[20]]))</f>
        <v>НД</v>
      </c>
      <c r="AJ198" s="116"/>
      <c r="AK198" s="116"/>
      <c r="AL198" s="694"/>
      <c r="AM198" s="51"/>
      <c r="AN198" s="288"/>
      <c r="AO198" s="377">
        <f>IF(Таблица5[[#This Row],[11]]=0,,MONTH(Таблица5[[#This Row],[11]]))</f>
        <v>0</v>
      </c>
    </row>
    <row r="199" spans="1:41" ht="80.099999999999994" customHeight="1" x14ac:dyDescent="0.25">
      <c r="A199" s="282" t="str">
        <f t="shared" si="2"/>
        <v>0645-00184</v>
      </c>
      <c r="B199" s="282" t="str">
        <f>РПЗ!$D199</f>
        <v>0645-00184. Проведение сертификационных испытаний изд.1953 в части проверки соответствия недекларированных возможностей. Разработка и отправка в Восьмое управление ГШ ВС РФ Технического заключения о соответствии изд.1953 требованиям по безопасности информации.</v>
      </c>
      <c r="C199" s="282" t="str">
        <f>РПЗ!$AA199</f>
        <v>НТЦ-1 Штогрин И.Р.</v>
      </c>
      <c r="D199" s="15" t="str">
        <f>РПЗ!$AB199</f>
        <v>Заказчик</v>
      </c>
      <c r="E199" s="692"/>
      <c r="F199" s="282" t="str">
        <f>РПЗ!Q199</f>
        <v>ОЗК</v>
      </c>
      <c r="G199" s="287"/>
      <c r="H199" s="287" t="str">
        <f>РПЗ!R199</f>
        <v>да</v>
      </c>
      <c r="I199" s="15" t="str">
        <f>РПЗ!W199</f>
        <v>Не применимо</v>
      </c>
      <c r="J199" s="282" t="str">
        <f>РПЗ!X199</f>
        <v>Не применимо</v>
      </c>
      <c r="K199" s="336" t="str">
        <f>РПЗ!Z199</f>
        <v>Не применимо</v>
      </c>
      <c r="L199" s="17"/>
      <c r="M199" s="18">
        <f>РПЗ!O199</f>
        <v>42736</v>
      </c>
      <c r="N199" s="289"/>
      <c r="O199" s="17"/>
      <c r="P199" s="17"/>
      <c r="Q199" s="17"/>
      <c r="R199" s="17"/>
      <c r="S199" s="17"/>
      <c r="T199" s="17"/>
      <c r="U199" s="18">
        <f>РПЗ!P199</f>
        <v>42767</v>
      </c>
      <c r="V199" s="17"/>
      <c r="W199" s="285">
        <f>РПЗ!L199</f>
        <v>1717000</v>
      </c>
      <c r="X199" s="286"/>
      <c r="Y199" s="286"/>
      <c r="Z199" s="300"/>
      <c r="AA199" s="287"/>
      <c r="AB199" s="116"/>
      <c r="AC199" s="17"/>
      <c r="AD199" s="288"/>
      <c r="AE199" s="17"/>
      <c r="AF199" s="287"/>
      <c r="AG199" s="116"/>
      <c r="AH199" s="285" t="str">
        <f>IF(Таблица5[[#This Row],[30]]=0,"НД",Таблица5[[#This Row],[20]]-Таблица5[[#This Row],[30]])</f>
        <v>НД</v>
      </c>
      <c r="AI199" s="693" t="str">
        <f>IF(((1-Таблица5[[#This Row],[30]]/Таблица5[[#This Row],[20]])=1),"НД",(1-Таблица5[[#This Row],[30]]/Таблица5[[#This Row],[20]]))</f>
        <v>НД</v>
      </c>
      <c r="AJ199" s="116"/>
      <c r="AK199" s="116"/>
      <c r="AL199" s="694"/>
      <c r="AM199" s="51"/>
      <c r="AN199" s="288"/>
      <c r="AO199" s="377">
        <f>IF(Таблица5[[#This Row],[11]]=0,,MONTH(Таблица5[[#This Row],[11]]))</f>
        <v>0</v>
      </c>
    </row>
    <row r="200" spans="1:41" ht="80.099999999999994" customHeight="1" x14ac:dyDescent="0.25">
      <c r="A200" s="282" t="str">
        <f t="shared" si="2"/>
        <v>0645-00185</v>
      </c>
      <c r="B200" s="282" t="str">
        <f>РПЗ!$D200</f>
        <v>0645-00185. Проведение сертификационных испытаний изделия 7т3-И ИМНЕ.461261.017 на соответствие криптографическим, инженерно-криптографическим и специальным требованиям</v>
      </c>
      <c r="C200" s="282" t="str">
        <f>РПЗ!$AA200</f>
        <v>НТЦ-1 Бородулин Л.А.</v>
      </c>
      <c r="D200" s="15" t="str">
        <f>РПЗ!$AB200</f>
        <v>Заказчик</v>
      </c>
      <c r="E200" s="692"/>
      <c r="F200" s="282" t="str">
        <f>РПЗ!Q200</f>
        <v>ЕП</v>
      </c>
      <c r="G200" s="287"/>
      <c r="H200" s="287" t="str">
        <f>РПЗ!R200</f>
        <v>Нет</v>
      </c>
      <c r="I200" s="15" t="str">
        <f>РПЗ!W200</f>
        <v>6.6.2(7)</v>
      </c>
      <c r="J200" s="282">
        <f>РПЗ!X200</f>
        <v>7705163656</v>
      </c>
      <c r="K200" s="336">
        <f>РПЗ!Z200</f>
        <v>800000</v>
      </c>
      <c r="L200" s="17"/>
      <c r="M200" s="18">
        <f>РПЗ!O200</f>
        <v>42736</v>
      </c>
      <c r="N200" s="289"/>
      <c r="O200" s="17"/>
      <c r="P200" s="17"/>
      <c r="Q200" s="17"/>
      <c r="R200" s="17"/>
      <c r="S200" s="17"/>
      <c r="T200" s="17"/>
      <c r="U200" s="18">
        <f>РПЗ!P200</f>
        <v>42887</v>
      </c>
      <c r="V200" s="17"/>
      <c r="W200" s="285">
        <f>РПЗ!L200</f>
        <v>800000</v>
      </c>
      <c r="X200" s="286"/>
      <c r="Y200" s="286"/>
      <c r="Z200" s="300"/>
      <c r="AA200" s="287"/>
      <c r="AB200" s="116"/>
      <c r="AC200" s="17"/>
      <c r="AD200" s="288"/>
      <c r="AE200" s="17"/>
      <c r="AF200" s="287"/>
      <c r="AG200" s="116"/>
      <c r="AH200" s="285" t="str">
        <f>IF(Таблица5[[#This Row],[30]]=0,"НД",Таблица5[[#This Row],[20]]-Таблица5[[#This Row],[30]])</f>
        <v>НД</v>
      </c>
      <c r="AI200" s="693" t="str">
        <f>IF(((1-Таблица5[[#This Row],[30]]/Таблица5[[#This Row],[20]])=1),"НД",(1-Таблица5[[#This Row],[30]]/Таблица5[[#This Row],[20]]))</f>
        <v>НД</v>
      </c>
      <c r="AJ200" s="116"/>
      <c r="AK200" s="116"/>
      <c r="AL200" s="694"/>
      <c r="AM200" s="51"/>
      <c r="AN200" s="288"/>
      <c r="AO200" s="377">
        <f>IF(Таблица5[[#This Row],[11]]=0,,MONTH(Таблица5[[#This Row],[11]]))</f>
        <v>0</v>
      </c>
    </row>
    <row r="201" spans="1:41" ht="80.099999999999994" customHeight="1" x14ac:dyDescent="0.25">
      <c r="A201" s="282" t="str">
        <f t="shared" si="2"/>
        <v>0645-00186</v>
      </c>
      <c r="B201" s="282" t="str">
        <f>РПЗ!$D201</f>
        <v>0645-00186. Проведение сертификационных испытаний изделия 7т3-И ИМНЕ.461261.017 на соответствие требованиям по контролю отсутствия недекларированных вожможностей</v>
      </c>
      <c r="C201" s="282" t="str">
        <f>РПЗ!$AA201</f>
        <v>НТЦ-1 Бородулин Л.А.</v>
      </c>
      <c r="D201" s="15" t="str">
        <f>РПЗ!$AB201</f>
        <v>Заказчик</v>
      </c>
      <c r="E201" s="692"/>
      <c r="F201" s="282" t="str">
        <f>РПЗ!Q201</f>
        <v>ЕП</v>
      </c>
      <c r="G201" s="287"/>
      <c r="H201" s="287" t="str">
        <f>РПЗ!R201</f>
        <v>Нет</v>
      </c>
      <c r="I201" s="15" t="str">
        <f>РПЗ!W201</f>
        <v>6.6.2(7)</v>
      </c>
      <c r="J201" s="282">
        <f>РПЗ!X201</f>
        <v>7804302727</v>
      </c>
      <c r="K201" s="336">
        <f>РПЗ!Z201</f>
        <v>3000000</v>
      </c>
      <c r="L201" s="17"/>
      <c r="M201" s="18">
        <f>РПЗ!O201</f>
        <v>42736</v>
      </c>
      <c r="N201" s="289"/>
      <c r="O201" s="17"/>
      <c r="P201" s="17"/>
      <c r="Q201" s="17"/>
      <c r="R201" s="17"/>
      <c r="S201" s="17"/>
      <c r="T201" s="17"/>
      <c r="U201" s="18">
        <f>РПЗ!P201</f>
        <v>42887</v>
      </c>
      <c r="V201" s="17"/>
      <c r="W201" s="285">
        <f>РПЗ!L201</f>
        <v>3000000</v>
      </c>
      <c r="X201" s="286"/>
      <c r="Y201" s="286"/>
      <c r="Z201" s="300"/>
      <c r="AA201" s="287"/>
      <c r="AB201" s="116"/>
      <c r="AC201" s="17"/>
      <c r="AD201" s="288"/>
      <c r="AE201" s="17"/>
      <c r="AF201" s="287"/>
      <c r="AG201" s="116"/>
      <c r="AH201" s="285" t="str">
        <f>IF(Таблица5[[#This Row],[30]]=0,"НД",Таблица5[[#This Row],[20]]-Таблица5[[#This Row],[30]])</f>
        <v>НД</v>
      </c>
      <c r="AI201" s="693" t="str">
        <f>IF(((1-Таблица5[[#This Row],[30]]/Таблица5[[#This Row],[20]])=1),"НД",(1-Таблица5[[#This Row],[30]]/Таблица5[[#This Row],[20]]))</f>
        <v>НД</v>
      </c>
      <c r="AJ201" s="116"/>
      <c r="AK201" s="116"/>
      <c r="AL201" s="694"/>
      <c r="AM201" s="51"/>
      <c r="AN201" s="288"/>
      <c r="AO201" s="377">
        <f>IF(Таблица5[[#This Row],[11]]=0,,MONTH(Таблица5[[#This Row],[11]]))</f>
        <v>0</v>
      </c>
    </row>
    <row r="202" spans="1:41" ht="80.099999999999994" customHeight="1" x14ac:dyDescent="0.25">
      <c r="A202" s="282" t="str">
        <f t="shared" si="2"/>
        <v>0645-00187</v>
      </c>
      <c r="B202" s="282" t="str">
        <f>РПЗ!$D202</f>
        <v>0645-00187. Проведение специальных работ с ОШС</v>
      </c>
      <c r="C202" s="282" t="str">
        <f>РПЗ!$AA202</f>
        <v xml:space="preserve">НТЦ-6 </v>
      </c>
      <c r="D202" s="15" t="str">
        <f>РПЗ!$AB202</f>
        <v>Заказчик</v>
      </c>
      <c r="E202" s="692"/>
      <c r="F202" s="282" t="str">
        <f>РПЗ!Q202</f>
        <v>ЕП</v>
      </c>
      <c r="G202" s="287"/>
      <c r="H202" s="287" t="str">
        <f>РПЗ!R202</f>
        <v>Нет</v>
      </c>
      <c r="I202" s="15" t="str">
        <f>РПЗ!W202</f>
        <v>6.6.2(7)</v>
      </c>
      <c r="J202" s="282">
        <f>РПЗ!X202</f>
        <v>7804541789</v>
      </c>
      <c r="K202" s="336">
        <f>РПЗ!Z202</f>
        <v>1000000</v>
      </c>
      <c r="L202" s="17"/>
      <c r="M202" s="18">
        <f>РПЗ!O202</f>
        <v>42736</v>
      </c>
      <c r="N202" s="289"/>
      <c r="O202" s="17"/>
      <c r="P202" s="17"/>
      <c r="Q202" s="17"/>
      <c r="R202" s="17"/>
      <c r="S202" s="17"/>
      <c r="T202" s="17"/>
      <c r="U202" s="18">
        <f>РПЗ!P202</f>
        <v>42887</v>
      </c>
      <c r="V202" s="17"/>
      <c r="W202" s="285">
        <f>РПЗ!L202</f>
        <v>1000000</v>
      </c>
      <c r="X202" s="286"/>
      <c r="Y202" s="286"/>
      <c r="Z202" s="300"/>
      <c r="AA202" s="287"/>
      <c r="AB202" s="116"/>
      <c r="AC202" s="17"/>
      <c r="AD202" s="288"/>
      <c r="AE202" s="17"/>
      <c r="AF202" s="287"/>
      <c r="AG202" s="116"/>
      <c r="AH202" s="285" t="str">
        <f>IF(Таблица5[[#This Row],[30]]=0,"НД",Таблица5[[#This Row],[20]]-Таблица5[[#This Row],[30]])</f>
        <v>НД</v>
      </c>
      <c r="AI202" s="693" t="str">
        <f>IF(((1-Таблица5[[#This Row],[30]]/Таблица5[[#This Row],[20]])=1),"НД",(1-Таблица5[[#This Row],[30]]/Таблица5[[#This Row],[20]]))</f>
        <v>НД</v>
      </c>
      <c r="AJ202" s="116"/>
      <c r="AK202" s="116"/>
      <c r="AL202" s="694"/>
      <c r="AM202" s="51"/>
      <c r="AN202" s="288"/>
      <c r="AO202" s="377">
        <f>IF(Таблица5[[#This Row],[11]]=0,,MONTH(Таблица5[[#This Row],[11]]))</f>
        <v>0</v>
      </c>
    </row>
    <row r="203" spans="1:41" ht="80.099999999999994" customHeight="1" x14ac:dyDescent="0.25">
      <c r="A203" s="282" t="str">
        <f t="shared" si="2"/>
        <v>0645-00188</v>
      </c>
      <c r="B203" s="282" t="str">
        <f>РПЗ!$D203</f>
        <v>0645-00188. Проведение специальных работ с ОШС изделия 1889М</v>
      </c>
      <c r="C203" s="282" t="str">
        <f>РПЗ!$AA203</f>
        <v xml:space="preserve">НТЦ-6 </v>
      </c>
      <c r="D203" s="15" t="str">
        <f>РПЗ!$AB203</f>
        <v>Заказчик</v>
      </c>
      <c r="E203" s="692"/>
      <c r="F203" s="282" t="str">
        <f>РПЗ!Q203</f>
        <v>ЕП</v>
      </c>
      <c r="G203" s="287"/>
      <c r="H203" s="287" t="str">
        <f>РПЗ!R203</f>
        <v>Нет</v>
      </c>
      <c r="I203" s="15" t="str">
        <f>РПЗ!W203</f>
        <v>6.6.2(7)</v>
      </c>
      <c r="J203" s="282">
        <f>РПЗ!X203</f>
        <v>7804541789</v>
      </c>
      <c r="K203" s="336">
        <f>РПЗ!Z203</f>
        <v>1500000</v>
      </c>
      <c r="L203" s="17"/>
      <c r="M203" s="18">
        <f>РПЗ!O203</f>
        <v>42736</v>
      </c>
      <c r="N203" s="289"/>
      <c r="O203" s="17"/>
      <c r="P203" s="17"/>
      <c r="Q203" s="17"/>
      <c r="R203" s="17"/>
      <c r="S203" s="17"/>
      <c r="T203" s="17"/>
      <c r="U203" s="18">
        <f>РПЗ!P203</f>
        <v>42979</v>
      </c>
      <c r="V203" s="17"/>
      <c r="W203" s="285">
        <f>РПЗ!L203</f>
        <v>1500000</v>
      </c>
      <c r="X203" s="286"/>
      <c r="Y203" s="286"/>
      <c r="Z203" s="300"/>
      <c r="AA203" s="287"/>
      <c r="AB203" s="116"/>
      <c r="AC203" s="17"/>
      <c r="AD203" s="288"/>
      <c r="AE203" s="17"/>
      <c r="AF203" s="287"/>
      <c r="AG203" s="116"/>
      <c r="AH203" s="285" t="str">
        <f>IF(Таблица5[[#This Row],[30]]=0,"НД",Таблица5[[#This Row],[20]]-Таблица5[[#This Row],[30]])</f>
        <v>НД</v>
      </c>
      <c r="AI203" s="693" t="str">
        <f>IF(((1-Таблица5[[#This Row],[30]]/Таблица5[[#This Row],[20]])=1),"НД",(1-Таблица5[[#This Row],[30]]/Таблица5[[#This Row],[20]]))</f>
        <v>НД</v>
      </c>
      <c r="AJ203" s="116"/>
      <c r="AK203" s="116"/>
      <c r="AL203" s="694"/>
      <c r="AM203" s="51"/>
      <c r="AN203" s="288"/>
      <c r="AO203" s="377">
        <f>IF(Таблица5[[#This Row],[11]]=0,,MONTH(Таблица5[[#This Row],[11]]))</f>
        <v>0</v>
      </c>
    </row>
    <row r="204" spans="1:41" ht="80.099999999999994" customHeight="1" x14ac:dyDescent="0.25">
      <c r="A204" s="282" t="str">
        <f t="shared" si="2"/>
        <v>0645-00189</v>
      </c>
      <c r="B204" s="282" t="str">
        <f>РПЗ!$D204</f>
        <v>0645-00189. Проведение специальных работ с ОШС изделия 1890М</v>
      </c>
      <c r="C204" s="282" t="str">
        <f>РПЗ!$AA204</f>
        <v xml:space="preserve">НТЦ-6 </v>
      </c>
      <c r="D204" s="15" t="str">
        <f>РПЗ!$AB204</f>
        <v>Заказчик</v>
      </c>
      <c r="E204" s="692"/>
      <c r="F204" s="282" t="str">
        <f>РПЗ!Q204</f>
        <v>ЕП</v>
      </c>
      <c r="G204" s="287"/>
      <c r="H204" s="287" t="str">
        <f>РПЗ!R204</f>
        <v>Нет</v>
      </c>
      <c r="I204" s="15" t="str">
        <f>РПЗ!W204</f>
        <v>6.6.2(7)</v>
      </c>
      <c r="J204" s="282">
        <f>РПЗ!X204</f>
        <v>7804541789</v>
      </c>
      <c r="K204" s="336">
        <f>РПЗ!Z204</f>
        <v>1500000</v>
      </c>
      <c r="L204" s="17"/>
      <c r="M204" s="18">
        <f>РПЗ!O204</f>
        <v>42736</v>
      </c>
      <c r="N204" s="289"/>
      <c r="O204" s="17"/>
      <c r="P204" s="17"/>
      <c r="Q204" s="17"/>
      <c r="R204" s="17"/>
      <c r="S204" s="17"/>
      <c r="T204" s="17"/>
      <c r="U204" s="18">
        <f>РПЗ!P204</f>
        <v>42979</v>
      </c>
      <c r="V204" s="17"/>
      <c r="W204" s="285">
        <f>РПЗ!L204</f>
        <v>1500000</v>
      </c>
      <c r="X204" s="286"/>
      <c r="Y204" s="286"/>
      <c r="Z204" s="300"/>
      <c r="AA204" s="287"/>
      <c r="AB204" s="116"/>
      <c r="AC204" s="17"/>
      <c r="AD204" s="288"/>
      <c r="AE204" s="17"/>
      <c r="AF204" s="287"/>
      <c r="AG204" s="116"/>
      <c r="AH204" s="285" t="str">
        <f>IF(Таблица5[[#This Row],[30]]=0,"НД",Таблица5[[#This Row],[20]]-Таблица5[[#This Row],[30]])</f>
        <v>НД</v>
      </c>
      <c r="AI204" s="693" t="str">
        <f>IF(((1-Таблица5[[#This Row],[30]]/Таблица5[[#This Row],[20]])=1),"НД",(1-Таблица5[[#This Row],[30]]/Таблица5[[#This Row],[20]]))</f>
        <v>НД</v>
      </c>
      <c r="AJ204" s="116"/>
      <c r="AK204" s="116"/>
      <c r="AL204" s="694"/>
      <c r="AM204" s="51"/>
      <c r="AN204" s="288"/>
      <c r="AO204" s="377">
        <f>IF(Таблица5[[#This Row],[11]]=0,,MONTH(Таблица5[[#This Row],[11]]))</f>
        <v>0</v>
      </c>
    </row>
    <row r="205" spans="1:41" ht="80.099999999999994" customHeight="1" x14ac:dyDescent="0.25">
      <c r="A205" s="282" t="str">
        <f t="shared" si="2"/>
        <v>0645-00190</v>
      </c>
      <c r="B205" s="282" t="str">
        <f>РПЗ!$D205</f>
        <v>0645-00190. Проведение специальных работ с ОШС изделия 1891М</v>
      </c>
      <c r="C205" s="282" t="str">
        <f>РПЗ!$AA205</f>
        <v xml:space="preserve">НТЦ-6 </v>
      </c>
      <c r="D205" s="15" t="str">
        <f>РПЗ!$AB205</f>
        <v>Заказчик</v>
      </c>
      <c r="E205" s="692"/>
      <c r="F205" s="282" t="str">
        <f>РПЗ!Q205</f>
        <v>ЕП</v>
      </c>
      <c r="G205" s="287"/>
      <c r="H205" s="287" t="str">
        <f>РПЗ!R205</f>
        <v>Нет</v>
      </c>
      <c r="I205" s="15" t="str">
        <f>РПЗ!W205</f>
        <v>6.6.2(7)</v>
      </c>
      <c r="J205" s="282">
        <f>РПЗ!X205</f>
        <v>7804541789</v>
      </c>
      <c r="K205" s="336">
        <f>РПЗ!Z205</f>
        <v>1500000</v>
      </c>
      <c r="L205" s="17"/>
      <c r="M205" s="18">
        <f>РПЗ!O205</f>
        <v>42736</v>
      </c>
      <c r="N205" s="289"/>
      <c r="O205" s="17"/>
      <c r="P205" s="17"/>
      <c r="Q205" s="17"/>
      <c r="R205" s="17"/>
      <c r="S205" s="17"/>
      <c r="T205" s="17"/>
      <c r="U205" s="18">
        <f>РПЗ!P205</f>
        <v>42979</v>
      </c>
      <c r="V205" s="17"/>
      <c r="W205" s="285">
        <f>РПЗ!L205</f>
        <v>1500000</v>
      </c>
      <c r="X205" s="286"/>
      <c r="Y205" s="286"/>
      <c r="Z205" s="300"/>
      <c r="AA205" s="287"/>
      <c r="AB205" s="116"/>
      <c r="AC205" s="17"/>
      <c r="AD205" s="288"/>
      <c r="AE205" s="17"/>
      <c r="AF205" s="287"/>
      <c r="AG205" s="116"/>
      <c r="AH205" s="285" t="str">
        <f>IF(Таблица5[[#This Row],[30]]=0,"НД",Таблица5[[#This Row],[20]]-Таблица5[[#This Row],[30]])</f>
        <v>НД</v>
      </c>
      <c r="AI205" s="693" t="str">
        <f>IF(((1-Таблица5[[#This Row],[30]]/Таблица5[[#This Row],[20]])=1),"НД",(1-Таблица5[[#This Row],[30]]/Таблица5[[#This Row],[20]]))</f>
        <v>НД</v>
      </c>
      <c r="AJ205" s="116"/>
      <c r="AK205" s="116"/>
      <c r="AL205" s="694"/>
      <c r="AM205" s="51"/>
      <c r="AN205" s="288"/>
      <c r="AO205" s="377">
        <f>IF(Таблица5[[#This Row],[11]]=0,,MONTH(Таблица5[[#This Row],[11]]))</f>
        <v>0</v>
      </c>
    </row>
    <row r="206" spans="1:41" ht="80.099999999999994" customHeight="1" x14ac:dyDescent="0.25">
      <c r="A206" s="282" t="str">
        <f t="shared" si="2"/>
        <v>0645-00191</v>
      </c>
      <c r="B206" s="282" t="str">
        <f>РПЗ!$D206</f>
        <v>0645-00191. Сертификация ПО изделия 1889М</v>
      </c>
      <c r="C206" s="282" t="str">
        <f>РПЗ!$AA206</f>
        <v>НТЦ-1 Потапов М.А..</v>
      </c>
      <c r="D206" s="15" t="str">
        <f>РПЗ!$AB206</f>
        <v>Заказчик</v>
      </c>
      <c r="E206" s="692"/>
      <c r="F206" s="282" t="str">
        <f>РПЗ!Q206</f>
        <v>ЕП</v>
      </c>
      <c r="G206" s="287"/>
      <c r="H206" s="287" t="str">
        <f>РПЗ!R206</f>
        <v>Нет</v>
      </c>
      <c r="I206" s="15" t="str">
        <f>РПЗ!W206</f>
        <v>6.6.2(7)</v>
      </c>
      <c r="J206" s="282">
        <f>РПЗ!X206</f>
        <v>7804302727</v>
      </c>
      <c r="K206" s="336">
        <f>РПЗ!Z206</f>
        <v>800000</v>
      </c>
      <c r="L206" s="17"/>
      <c r="M206" s="18">
        <f>РПЗ!O206</f>
        <v>42736</v>
      </c>
      <c r="N206" s="289"/>
      <c r="O206" s="17"/>
      <c r="P206" s="17"/>
      <c r="Q206" s="17"/>
      <c r="R206" s="17"/>
      <c r="S206" s="17"/>
      <c r="T206" s="17"/>
      <c r="U206" s="18">
        <f>РПЗ!P206</f>
        <v>42979</v>
      </c>
      <c r="V206" s="17"/>
      <c r="W206" s="285">
        <f>РПЗ!L206</f>
        <v>800000</v>
      </c>
      <c r="X206" s="286"/>
      <c r="Y206" s="286"/>
      <c r="Z206" s="300"/>
      <c r="AA206" s="287"/>
      <c r="AB206" s="116"/>
      <c r="AC206" s="17"/>
      <c r="AD206" s="288"/>
      <c r="AE206" s="17"/>
      <c r="AF206" s="287"/>
      <c r="AG206" s="116"/>
      <c r="AH206" s="285" t="str">
        <f>IF(Таблица5[[#This Row],[30]]=0,"НД",Таблица5[[#This Row],[20]]-Таблица5[[#This Row],[30]])</f>
        <v>НД</v>
      </c>
      <c r="AI206" s="693" t="str">
        <f>IF(((1-Таблица5[[#This Row],[30]]/Таблица5[[#This Row],[20]])=1),"НД",(1-Таблица5[[#This Row],[30]]/Таблица5[[#This Row],[20]]))</f>
        <v>НД</v>
      </c>
      <c r="AJ206" s="116"/>
      <c r="AK206" s="116"/>
      <c r="AL206" s="694"/>
      <c r="AM206" s="51"/>
      <c r="AN206" s="288"/>
      <c r="AO206" s="377">
        <f>IF(Таблица5[[#This Row],[11]]=0,,MONTH(Таблица5[[#This Row],[11]]))</f>
        <v>0</v>
      </c>
    </row>
    <row r="207" spans="1:41" ht="80.099999999999994" customHeight="1" x14ac:dyDescent="0.25">
      <c r="A207" s="282" t="str">
        <f t="shared" si="2"/>
        <v>0645-00192</v>
      </c>
      <c r="B207" s="282" t="str">
        <f>РПЗ!$D207</f>
        <v>0645-00192. Сертификация ПО изделия 1890М</v>
      </c>
      <c r="C207" s="282" t="str">
        <f>РПЗ!$AA207</f>
        <v>НТЦ-1 Потапов М.А..</v>
      </c>
      <c r="D207" s="15" t="str">
        <f>РПЗ!$AB207</f>
        <v>Заказчик</v>
      </c>
      <c r="E207" s="692"/>
      <c r="F207" s="282" t="str">
        <f>РПЗ!Q207</f>
        <v>ЕП</v>
      </c>
      <c r="G207" s="287"/>
      <c r="H207" s="287" t="str">
        <f>РПЗ!R207</f>
        <v>Нет</v>
      </c>
      <c r="I207" s="15" t="str">
        <f>РПЗ!W207</f>
        <v>6.6.2(7)</v>
      </c>
      <c r="J207" s="282">
        <f>РПЗ!X207</f>
        <v>7804302727</v>
      </c>
      <c r="K207" s="336">
        <f>РПЗ!Z207</f>
        <v>800000</v>
      </c>
      <c r="L207" s="17"/>
      <c r="M207" s="18">
        <f>РПЗ!O207</f>
        <v>42736</v>
      </c>
      <c r="N207" s="289"/>
      <c r="O207" s="17"/>
      <c r="P207" s="17"/>
      <c r="Q207" s="17"/>
      <c r="R207" s="17"/>
      <c r="S207" s="17"/>
      <c r="T207" s="17"/>
      <c r="U207" s="18">
        <f>РПЗ!P207</f>
        <v>42979</v>
      </c>
      <c r="V207" s="17"/>
      <c r="W207" s="285">
        <f>РПЗ!L207</f>
        <v>800000</v>
      </c>
      <c r="X207" s="286"/>
      <c r="Y207" s="286"/>
      <c r="Z207" s="300"/>
      <c r="AA207" s="287"/>
      <c r="AB207" s="116"/>
      <c r="AC207" s="17"/>
      <c r="AD207" s="288"/>
      <c r="AE207" s="17"/>
      <c r="AF207" s="287"/>
      <c r="AG207" s="116"/>
      <c r="AH207" s="285" t="str">
        <f>IF(Таблица5[[#This Row],[30]]=0,"НД",Таблица5[[#This Row],[20]]-Таблица5[[#This Row],[30]])</f>
        <v>НД</v>
      </c>
      <c r="AI207" s="693" t="str">
        <f>IF(((1-Таблица5[[#This Row],[30]]/Таблица5[[#This Row],[20]])=1),"НД",(1-Таблица5[[#This Row],[30]]/Таблица5[[#This Row],[20]]))</f>
        <v>НД</v>
      </c>
      <c r="AJ207" s="116"/>
      <c r="AK207" s="116"/>
      <c r="AL207" s="694"/>
      <c r="AM207" s="51"/>
      <c r="AN207" s="288"/>
      <c r="AO207" s="377">
        <f>IF(Таблица5[[#This Row],[11]]=0,,MONTH(Таблица5[[#This Row],[11]]))</f>
        <v>0</v>
      </c>
    </row>
    <row r="208" spans="1:41" ht="80.099999999999994" customHeight="1" x14ac:dyDescent="0.25">
      <c r="A208" s="282" t="str">
        <f t="shared" ref="A208:A226" si="3">INDEX(Диапазон1,ROW(), COLUMN())</f>
        <v>0645-00193</v>
      </c>
      <c r="B208" s="282" t="str">
        <f>РПЗ!$D208</f>
        <v>0645-00193. Сертификация ПО изделия 1891М</v>
      </c>
      <c r="C208" s="282" t="str">
        <f>РПЗ!$AA208</f>
        <v>НТЦ-1 Потапов М.А..</v>
      </c>
      <c r="D208" s="15" t="str">
        <f>РПЗ!$AB208</f>
        <v>Заказчик</v>
      </c>
      <c r="E208" s="692"/>
      <c r="F208" s="282" t="str">
        <f>РПЗ!Q208</f>
        <v>ЕП</v>
      </c>
      <c r="G208" s="287"/>
      <c r="H208" s="287" t="str">
        <f>РПЗ!R208</f>
        <v>Нет</v>
      </c>
      <c r="I208" s="15" t="str">
        <f>РПЗ!W208</f>
        <v>6.6.2(7)</v>
      </c>
      <c r="J208" s="282">
        <f>РПЗ!X208</f>
        <v>7804302727</v>
      </c>
      <c r="K208" s="336">
        <f>РПЗ!Z208</f>
        <v>800000</v>
      </c>
      <c r="L208" s="17"/>
      <c r="M208" s="18">
        <f>РПЗ!O208</f>
        <v>42736</v>
      </c>
      <c r="N208" s="289"/>
      <c r="O208" s="17"/>
      <c r="P208" s="17"/>
      <c r="Q208" s="17"/>
      <c r="R208" s="17"/>
      <c r="S208" s="17"/>
      <c r="T208" s="17"/>
      <c r="U208" s="18">
        <f>РПЗ!P208</f>
        <v>42979</v>
      </c>
      <c r="V208" s="17"/>
      <c r="W208" s="285">
        <f>РПЗ!L208</f>
        <v>800000</v>
      </c>
      <c r="X208" s="286"/>
      <c r="Y208" s="286"/>
      <c r="Z208" s="300"/>
      <c r="AA208" s="287"/>
      <c r="AB208" s="116"/>
      <c r="AC208" s="17"/>
      <c r="AD208" s="288"/>
      <c r="AE208" s="17"/>
      <c r="AF208" s="287"/>
      <c r="AG208" s="116"/>
      <c r="AH208" s="285" t="str">
        <f>IF(Таблица5[[#This Row],[30]]=0,"НД",Таблица5[[#This Row],[20]]-Таблица5[[#This Row],[30]])</f>
        <v>НД</v>
      </c>
      <c r="AI208" s="693" t="str">
        <f>IF(((1-Таблица5[[#This Row],[30]]/Таблица5[[#This Row],[20]])=1),"НД",(1-Таблица5[[#This Row],[30]]/Таблица5[[#This Row],[20]]))</f>
        <v>НД</v>
      </c>
      <c r="AJ208" s="116"/>
      <c r="AK208" s="116"/>
      <c r="AL208" s="694"/>
      <c r="AM208" s="51"/>
      <c r="AN208" s="288"/>
      <c r="AO208" s="377">
        <f>IF(Таблица5[[#This Row],[11]]=0,,MONTH(Таблица5[[#This Row],[11]]))</f>
        <v>0</v>
      </c>
    </row>
    <row r="209" spans="1:41" ht="80.099999999999994" customHeight="1" x14ac:dyDescent="0.25">
      <c r="A209" s="282" t="str">
        <f t="shared" si="3"/>
        <v>0645-00194</v>
      </c>
      <c r="B209" s="282" t="str">
        <f>РПЗ!$D209</f>
        <v>0645-00194. Проведение сертификационных испытаний изделия 1889М по специальным вопросам</v>
      </c>
      <c r="C209" s="282" t="str">
        <f>РПЗ!$AA209</f>
        <v>НТЦ-1 Потапов М.А..</v>
      </c>
      <c r="D209" s="15" t="str">
        <f>РПЗ!$AB209</f>
        <v>Заказчик</v>
      </c>
      <c r="E209" s="692"/>
      <c r="F209" s="282" t="str">
        <f>РПЗ!Q209</f>
        <v>ЕП</v>
      </c>
      <c r="G209" s="287"/>
      <c r="H209" s="287" t="str">
        <f>РПЗ!R209</f>
        <v>Нет</v>
      </c>
      <c r="I209" s="15" t="str">
        <f>РПЗ!W209</f>
        <v>6.6.2(7)</v>
      </c>
      <c r="J209" s="282">
        <f>РПЗ!X209</f>
        <v>7705163656</v>
      </c>
      <c r="K209" s="336">
        <f>РПЗ!Z209</f>
        <v>800000</v>
      </c>
      <c r="L209" s="17"/>
      <c r="M209" s="18">
        <f>РПЗ!O209</f>
        <v>42736</v>
      </c>
      <c r="N209" s="289"/>
      <c r="O209" s="17"/>
      <c r="P209" s="17"/>
      <c r="Q209" s="17"/>
      <c r="R209" s="17"/>
      <c r="S209" s="17"/>
      <c r="T209" s="17"/>
      <c r="U209" s="18">
        <f>РПЗ!P209</f>
        <v>42979</v>
      </c>
      <c r="V209" s="17"/>
      <c r="W209" s="285">
        <f>РПЗ!L209</f>
        <v>800000</v>
      </c>
      <c r="X209" s="286"/>
      <c r="Y209" s="286"/>
      <c r="Z209" s="300"/>
      <c r="AA209" s="287"/>
      <c r="AB209" s="116"/>
      <c r="AC209" s="17"/>
      <c r="AD209" s="288"/>
      <c r="AE209" s="17"/>
      <c r="AF209" s="287"/>
      <c r="AG209" s="116"/>
      <c r="AH209" s="285" t="str">
        <f>IF(Таблица5[[#This Row],[30]]=0,"НД",Таблица5[[#This Row],[20]]-Таблица5[[#This Row],[30]])</f>
        <v>НД</v>
      </c>
      <c r="AI209" s="693" t="str">
        <f>IF(((1-Таблица5[[#This Row],[30]]/Таблица5[[#This Row],[20]])=1),"НД",(1-Таблица5[[#This Row],[30]]/Таблица5[[#This Row],[20]]))</f>
        <v>НД</v>
      </c>
      <c r="AJ209" s="116"/>
      <c r="AK209" s="116"/>
      <c r="AL209" s="694"/>
      <c r="AM209" s="51"/>
      <c r="AN209" s="288"/>
      <c r="AO209" s="377">
        <f>IF(Таблица5[[#This Row],[11]]=0,,MONTH(Таблица5[[#This Row],[11]]))</f>
        <v>0</v>
      </c>
    </row>
    <row r="210" spans="1:41" ht="80.099999999999994" customHeight="1" x14ac:dyDescent="0.25">
      <c r="A210" s="282" t="str">
        <f t="shared" si="3"/>
        <v>0645-00195</v>
      </c>
      <c r="B210" s="282" t="str">
        <f>РПЗ!$D210</f>
        <v>0645-00195. Проведение сертификационных испытаний изделия 1890М по специальным вопросам</v>
      </c>
      <c r="C210" s="282" t="str">
        <f>РПЗ!$AA210</f>
        <v>НТЦ-1 Потапов М.А..</v>
      </c>
      <c r="D210" s="15" t="str">
        <f>РПЗ!$AB210</f>
        <v>Заказчик</v>
      </c>
      <c r="E210" s="692"/>
      <c r="F210" s="282" t="str">
        <f>РПЗ!Q210</f>
        <v>ЕП</v>
      </c>
      <c r="G210" s="287"/>
      <c r="H210" s="287" t="str">
        <f>РПЗ!R210</f>
        <v>Нет</v>
      </c>
      <c r="I210" s="15" t="str">
        <f>РПЗ!W210</f>
        <v>6.6.2(7)</v>
      </c>
      <c r="J210" s="282">
        <f>РПЗ!X210</f>
        <v>7705163656</v>
      </c>
      <c r="K210" s="336">
        <f>РПЗ!Z210</f>
        <v>800000</v>
      </c>
      <c r="L210" s="17"/>
      <c r="M210" s="18">
        <f>РПЗ!O210</f>
        <v>42736</v>
      </c>
      <c r="N210" s="289"/>
      <c r="O210" s="17"/>
      <c r="P210" s="17"/>
      <c r="Q210" s="17"/>
      <c r="R210" s="17"/>
      <c r="S210" s="17"/>
      <c r="T210" s="17"/>
      <c r="U210" s="18">
        <f>РПЗ!P210</f>
        <v>42979</v>
      </c>
      <c r="V210" s="17"/>
      <c r="W210" s="285">
        <f>РПЗ!L210</f>
        <v>800000</v>
      </c>
      <c r="X210" s="286"/>
      <c r="Y210" s="286"/>
      <c r="Z210" s="300"/>
      <c r="AA210" s="287"/>
      <c r="AB210" s="116"/>
      <c r="AC210" s="17"/>
      <c r="AD210" s="288"/>
      <c r="AE210" s="17"/>
      <c r="AF210" s="287"/>
      <c r="AG210" s="116"/>
      <c r="AH210" s="285" t="str">
        <f>IF(Таблица5[[#This Row],[30]]=0,"НД",Таблица5[[#This Row],[20]]-Таблица5[[#This Row],[30]])</f>
        <v>НД</v>
      </c>
      <c r="AI210" s="693" t="str">
        <f>IF(((1-Таблица5[[#This Row],[30]]/Таблица5[[#This Row],[20]])=1),"НД",(1-Таблица5[[#This Row],[30]]/Таблица5[[#This Row],[20]]))</f>
        <v>НД</v>
      </c>
      <c r="AJ210" s="116"/>
      <c r="AK210" s="116"/>
      <c r="AL210" s="694"/>
      <c r="AM210" s="51"/>
      <c r="AN210" s="288"/>
      <c r="AO210" s="377">
        <f>IF(Таблица5[[#This Row],[11]]=0,,MONTH(Таблица5[[#This Row],[11]]))</f>
        <v>0</v>
      </c>
    </row>
    <row r="211" spans="1:41" ht="80.099999999999994" customHeight="1" x14ac:dyDescent="0.25">
      <c r="A211" s="282" t="str">
        <f t="shared" si="3"/>
        <v>0645-00196</v>
      </c>
      <c r="B211" s="282" t="str">
        <f>РПЗ!$D211</f>
        <v>0645-00196. Проведение сертификационных испытаний изделия 1891М по специальным вопросам</v>
      </c>
      <c r="C211" s="282" t="str">
        <f>РПЗ!$AA211</f>
        <v>НТЦ-1 Потапов М.А..</v>
      </c>
      <c r="D211" s="15" t="str">
        <f>РПЗ!$AB211</f>
        <v>Заказчик</v>
      </c>
      <c r="E211" s="692"/>
      <c r="F211" s="282" t="str">
        <f>РПЗ!Q211</f>
        <v>ЕП</v>
      </c>
      <c r="G211" s="287"/>
      <c r="H211" s="287" t="str">
        <f>РПЗ!R211</f>
        <v>Нет</v>
      </c>
      <c r="I211" s="15" t="str">
        <f>РПЗ!W211</f>
        <v>6.6.2(7)</v>
      </c>
      <c r="J211" s="282">
        <f>РПЗ!X211</f>
        <v>7705163656</v>
      </c>
      <c r="K211" s="336">
        <f>РПЗ!Z211</f>
        <v>800000</v>
      </c>
      <c r="L211" s="17"/>
      <c r="M211" s="18">
        <f>РПЗ!O211</f>
        <v>42736</v>
      </c>
      <c r="N211" s="289"/>
      <c r="O211" s="17"/>
      <c r="P211" s="17"/>
      <c r="Q211" s="17"/>
      <c r="R211" s="17"/>
      <c r="S211" s="17"/>
      <c r="T211" s="17"/>
      <c r="U211" s="18">
        <f>РПЗ!P211</f>
        <v>42979</v>
      </c>
      <c r="V211" s="17"/>
      <c r="W211" s="285">
        <f>РПЗ!L211</f>
        <v>800000</v>
      </c>
      <c r="X211" s="286"/>
      <c r="Y211" s="286"/>
      <c r="Z211" s="300"/>
      <c r="AA211" s="287"/>
      <c r="AB211" s="116"/>
      <c r="AC211" s="17"/>
      <c r="AD211" s="288"/>
      <c r="AE211" s="17"/>
      <c r="AF211" s="287"/>
      <c r="AG211" s="116"/>
      <c r="AH211" s="285" t="str">
        <f>IF(Таблица5[[#This Row],[30]]=0,"НД",Таблица5[[#This Row],[20]]-Таблица5[[#This Row],[30]])</f>
        <v>НД</v>
      </c>
      <c r="AI211" s="693" t="str">
        <f>IF(((1-Таблица5[[#This Row],[30]]/Таблица5[[#This Row],[20]])=1),"НД",(1-Таблица5[[#This Row],[30]]/Таблица5[[#This Row],[20]]))</f>
        <v>НД</v>
      </c>
      <c r="AJ211" s="116"/>
      <c r="AK211" s="116"/>
      <c r="AL211" s="694"/>
      <c r="AM211" s="51"/>
      <c r="AN211" s="288"/>
      <c r="AO211" s="377">
        <f>IF(Таблица5[[#This Row],[11]]=0,,MONTH(Таблица5[[#This Row],[11]]))</f>
        <v>0</v>
      </c>
    </row>
    <row r="212" spans="1:41" ht="80.099999999999994" customHeight="1" x14ac:dyDescent="0.25">
      <c r="A212" s="282" t="str">
        <f t="shared" si="3"/>
        <v>0645-00197</v>
      </c>
      <c r="B212" s="282" t="str">
        <f>РПЗ!$D212</f>
        <v>0645-00197. Проведение сертификационных испытаний изделия 1888-01 по специальным вопросам</v>
      </c>
      <c r="C212" s="282" t="str">
        <f>РПЗ!$AA212</f>
        <v>НТЦ-1 Фарафонтьев Д.В..</v>
      </c>
      <c r="D212" s="15" t="str">
        <f>РПЗ!$AB212</f>
        <v>Заказчик</v>
      </c>
      <c r="E212" s="692"/>
      <c r="F212" s="282" t="str">
        <f>РПЗ!Q212</f>
        <v>ЕП</v>
      </c>
      <c r="G212" s="287"/>
      <c r="H212" s="287" t="str">
        <f>РПЗ!R212</f>
        <v>Нет</v>
      </c>
      <c r="I212" s="15" t="str">
        <f>РПЗ!W212</f>
        <v>6.6.2(7)</v>
      </c>
      <c r="J212" s="282">
        <f>РПЗ!X212</f>
        <v>7705163656</v>
      </c>
      <c r="K212" s="336">
        <f>РПЗ!Z212</f>
        <v>800000</v>
      </c>
      <c r="L212" s="17"/>
      <c r="M212" s="18">
        <f>РПЗ!O212</f>
        <v>42736</v>
      </c>
      <c r="N212" s="289"/>
      <c r="O212" s="17"/>
      <c r="P212" s="17"/>
      <c r="Q212" s="17"/>
      <c r="R212" s="17"/>
      <c r="S212" s="17"/>
      <c r="T212" s="17"/>
      <c r="U212" s="18">
        <f>РПЗ!P212</f>
        <v>43344</v>
      </c>
      <c r="V212" s="17"/>
      <c r="W212" s="285">
        <f>РПЗ!L212</f>
        <v>800000</v>
      </c>
      <c r="X212" s="286"/>
      <c r="Y212" s="286"/>
      <c r="Z212" s="300"/>
      <c r="AA212" s="287"/>
      <c r="AB212" s="116"/>
      <c r="AC212" s="17"/>
      <c r="AD212" s="288"/>
      <c r="AE212" s="17"/>
      <c r="AF212" s="287"/>
      <c r="AG212" s="116"/>
      <c r="AH212" s="285" t="str">
        <f>IF(Таблица5[[#This Row],[30]]=0,"НД",Таблица5[[#This Row],[20]]-Таблица5[[#This Row],[30]])</f>
        <v>НД</v>
      </c>
      <c r="AI212" s="693" t="str">
        <f>IF(((1-Таблица5[[#This Row],[30]]/Таблица5[[#This Row],[20]])=1),"НД",(1-Таблица5[[#This Row],[30]]/Таблица5[[#This Row],[20]]))</f>
        <v>НД</v>
      </c>
      <c r="AJ212" s="116"/>
      <c r="AK212" s="116"/>
      <c r="AL212" s="694"/>
      <c r="AM212" s="51"/>
      <c r="AN212" s="288"/>
      <c r="AO212" s="377">
        <f>IF(Таблица5[[#This Row],[11]]=0,,MONTH(Таблица5[[#This Row],[11]]))</f>
        <v>0</v>
      </c>
    </row>
    <row r="213" spans="1:41" ht="80.099999999999994" customHeight="1" x14ac:dyDescent="0.25">
      <c r="A213" s="282" t="str">
        <f t="shared" si="3"/>
        <v>0645-00198</v>
      </c>
      <c r="B213" s="282" t="str">
        <f>РПЗ!$D213</f>
        <v>0645-00198. Сертификация ПО изделия 1888-01</v>
      </c>
      <c r="C213" s="282" t="str">
        <f>РПЗ!$AA213</f>
        <v>НТЦ-1 Фарафонтьев Д.В..</v>
      </c>
      <c r="D213" s="15" t="str">
        <f>РПЗ!$AB213</f>
        <v>Заказчик</v>
      </c>
      <c r="E213" s="692"/>
      <c r="F213" s="282" t="str">
        <f>РПЗ!Q213</f>
        <v>ЕП</v>
      </c>
      <c r="G213" s="287"/>
      <c r="H213" s="287" t="str">
        <f>РПЗ!R213</f>
        <v>Нет</v>
      </c>
      <c r="I213" s="15" t="str">
        <f>РПЗ!W213</f>
        <v>6.6.2(7)</v>
      </c>
      <c r="J213" s="282">
        <f>РПЗ!X213</f>
        <v>7804302727</v>
      </c>
      <c r="K213" s="336">
        <f>РПЗ!Z213</f>
        <v>3000000</v>
      </c>
      <c r="L213" s="17"/>
      <c r="M213" s="18">
        <f>РПЗ!O213</f>
        <v>42736</v>
      </c>
      <c r="N213" s="289"/>
      <c r="O213" s="17"/>
      <c r="P213" s="17"/>
      <c r="Q213" s="17"/>
      <c r="R213" s="17"/>
      <c r="S213" s="17"/>
      <c r="T213" s="17"/>
      <c r="U213" s="18">
        <f>РПЗ!P213</f>
        <v>43344</v>
      </c>
      <c r="V213" s="17"/>
      <c r="W213" s="285">
        <f>РПЗ!L213</f>
        <v>3000000</v>
      </c>
      <c r="X213" s="286"/>
      <c r="Y213" s="286"/>
      <c r="Z213" s="300"/>
      <c r="AA213" s="287"/>
      <c r="AB213" s="116"/>
      <c r="AC213" s="17"/>
      <c r="AD213" s="288"/>
      <c r="AE213" s="17"/>
      <c r="AF213" s="287"/>
      <c r="AG213" s="116"/>
      <c r="AH213" s="285" t="str">
        <f>IF(Таблица5[[#This Row],[30]]=0,"НД",Таблица5[[#This Row],[20]]-Таблица5[[#This Row],[30]])</f>
        <v>НД</v>
      </c>
      <c r="AI213" s="693" t="str">
        <f>IF(((1-Таблица5[[#This Row],[30]]/Таблица5[[#This Row],[20]])=1),"НД",(1-Таблица5[[#This Row],[30]]/Таблица5[[#This Row],[20]]))</f>
        <v>НД</v>
      </c>
      <c r="AJ213" s="116"/>
      <c r="AK213" s="116"/>
      <c r="AL213" s="694"/>
      <c r="AM213" s="51"/>
      <c r="AN213" s="288"/>
      <c r="AO213" s="377">
        <f>IF(Таблица5[[#This Row],[11]]=0,,MONTH(Таблица5[[#This Row],[11]]))</f>
        <v>0</v>
      </c>
    </row>
    <row r="214" spans="1:41" ht="80.099999999999994" customHeight="1" x14ac:dyDescent="0.25">
      <c r="A214" s="282" t="str">
        <f t="shared" si="3"/>
        <v>0645-00199</v>
      </c>
      <c r="B214" s="282" t="str">
        <f>РПЗ!$D214</f>
        <v>0645-00199. Оказание услуг по проведению закупочных процедур</v>
      </c>
      <c r="C214" s="282" t="str">
        <f>РПЗ!$AA214</f>
        <v>ЦКСиСО</v>
      </c>
      <c r="D214" s="15" t="str">
        <f>РПЗ!$AB214</f>
        <v>Заказчик</v>
      </c>
      <c r="E214" s="692"/>
      <c r="F214" s="282" t="str">
        <f>РПЗ!Q214</f>
        <v>ЕП</v>
      </c>
      <c r="G214" s="287"/>
      <c r="H214" s="287" t="str">
        <f>РПЗ!R214</f>
        <v>Нет</v>
      </c>
      <c r="I214" s="15" t="str">
        <f>РПЗ!W214</f>
        <v>6.6.2(14)</v>
      </c>
      <c r="J214" s="282">
        <f>РПЗ!X214</f>
        <v>7704756043</v>
      </c>
      <c r="K214" s="336">
        <f>РПЗ!Z214</f>
        <v>360000</v>
      </c>
      <c r="L214" s="17"/>
      <c r="M214" s="18">
        <f>РПЗ!O214</f>
        <v>42736</v>
      </c>
      <c r="N214" s="289"/>
      <c r="O214" s="17"/>
      <c r="P214" s="17"/>
      <c r="Q214" s="17"/>
      <c r="R214" s="17"/>
      <c r="S214" s="17"/>
      <c r="T214" s="17"/>
      <c r="U214" s="18">
        <f>РПЗ!P214</f>
        <v>43070</v>
      </c>
      <c r="V214" s="17"/>
      <c r="W214" s="285">
        <f>РПЗ!L214</f>
        <v>360000</v>
      </c>
      <c r="X214" s="286"/>
      <c r="Y214" s="286"/>
      <c r="Z214" s="300"/>
      <c r="AA214" s="287"/>
      <c r="AB214" s="116"/>
      <c r="AC214" s="17"/>
      <c r="AD214" s="288"/>
      <c r="AE214" s="17"/>
      <c r="AF214" s="287"/>
      <c r="AG214" s="116"/>
      <c r="AH214" s="285" t="str">
        <f>IF(Таблица5[[#This Row],[30]]=0,"НД",Таблица5[[#This Row],[20]]-Таблица5[[#This Row],[30]])</f>
        <v>НД</v>
      </c>
      <c r="AI214" s="693" t="str">
        <f>IF(((1-Таблица5[[#This Row],[30]]/Таблица5[[#This Row],[20]])=1),"НД",(1-Таблица5[[#This Row],[30]]/Таблица5[[#This Row],[20]]))</f>
        <v>НД</v>
      </c>
      <c r="AJ214" s="116"/>
      <c r="AK214" s="116"/>
      <c r="AL214" s="694"/>
      <c r="AM214" s="51"/>
      <c r="AN214" s="288"/>
      <c r="AO214" s="377">
        <f>IF(Таблица5[[#This Row],[11]]=0,,MONTH(Таблица5[[#This Row],[11]]))</f>
        <v>0</v>
      </c>
    </row>
    <row r="215" spans="1:41" ht="80.099999999999994" customHeight="1" x14ac:dyDescent="0.25">
      <c r="A215" s="282" t="str">
        <f t="shared" si="3"/>
        <v>0645-00200</v>
      </c>
      <c r="B215" s="282" t="str">
        <f>РПЗ!$D215</f>
        <v>0645-00200. Оказание услуг по обязательному страхованию гражданской ответственности владельцев транспортных средств</v>
      </c>
      <c r="C215" s="282" t="str">
        <f>РПЗ!$AA215</f>
        <v>Автотранспортный цех Малинов Александр Сергеевич 297-30-23</v>
      </c>
      <c r="D215" s="15" t="str">
        <f>РПЗ!$AB215</f>
        <v>ООО "СБ "РТ-Страхование"</v>
      </c>
      <c r="E215" s="692"/>
      <c r="F215" s="282" t="str">
        <f>РПЗ!Q215</f>
        <v>ОЗК</v>
      </c>
      <c r="G215" s="287"/>
      <c r="H215" s="287" t="str">
        <f>РПЗ!R215</f>
        <v xml:space="preserve">Нет </v>
      </c>
      <c r="I215" s="15" t="str">
        <f>РПЗ!W215</f>
        <v>Не применимо</v>
      </c>
      <c r="J215" s="282" t="str">
        <f>РПЗ!X215</f>
        <v>Не применимо</v>
      </c>
      <c r="K215" s="336" t="str">
        <f>РПЗ!Z215</f>
        <v>Не применимо</v>
      </c>
      <c r="L215" s="17"/>
      <c r="M215" s="18">
        <f>РПЗ!O215</f>
        <v>42736</v>
      </c>
      <c r="N215" s="289"/>
      <c r="O215" s="17"/>
      <c r="P215" s="17"/>
      <c r="Q215" s="17"/>
      <c r="R215" s="17"/>
      <c r="S215" s="17"/>
      <c r="T215" s="17"/>
      <c r="U215" s="18">
        <f>РПЗ!P215</f>
        <v>42767</v>
      </c>
      <c r="V215" s="17"/>
      <c r="W215" s="285">
        <f>РПЗ!L215</f>
        <v>153400</v>
      </c>
      <c r="X215" s="286"/>
      <c r="Y215" s="286"/>
      <c r="Z215" s="300"/>
      <c r="AA215" s="287"/>
      <c r="AB215" s="116"/>
      <c r="AC215" s="17"/>
      <c r="AD215" s="288"/>
      <c r="AE215" s="17"/>
      <c r="AF215" s="287"/>
      <c r="AG215" s="116"/>
      <c r="AH215" s="285" t="str">
        <f>IF(Таблица5[[#This Row],[30]]=0,"НД",Таблица5[[#This Row],[20]]-Таблица5[[#This Row],[30]])</f>
        <v>НД</v>
      </c>
      <c r="AI215" s="693" t="str">
        <f>IF(((1-Таблица5[[#This Row],[30]]/Таблица5[[#This Row],[20]])=1),"НД",(1-Таблица5[[#This Row],[30]]/Таблица5[[#This Row],[20]]))</f>
        <v>НД</v>
      </c>
      <c r="AJ215" s="116"/>
      <c r="AK215" s="116"/>
      <c r="AL215" s="694"/>
      <c r="AM215" s="51"/>
      <c r="AN215" s="288"/>
      <c r="AO215" s="377">
        <f>IF(Таблица5[[#This Row],[11]]=0,,MONTH(Таблица5[[#This Row],[11]]))</f>
        <v>0</v>
      </c>
    </row>
    <row r="216" spans="1:41" ht="80.099999999999994" customHeight="1" x14ac:dyDescent="0.25">
      <c r="A216" s="282" t="str">
        <f t="shared" si="3"/>
        <v>0645-00201</v>
      </c>
      <c r="B216" s="282" t="str">
        <f>РПЗ!$D216</f>
        <v>0645-00201. Оказание услуг по добровольному страхованию автотранспорта</v>
      </c>
      <c r="C216" s="282" t="str">
        <f>РПЗ!$AA216</f>
        <v>Автотранспортный цех Малинов Александр Сергеевич 297-30-23</v>
      </c>
      <c r="D216" s="15" t="str">
        <f>РПЗ!$AB216</f>
        <v>ООО "СБ "РТ-Страхование"</v>
      </c>
      <c r="E216" s="692"/>
      <c r="F216" s="282" t="str">
        <f>РПЗ!Q216</f>
        <v>ОЗП</v>
      </c>
      <c r="G216" s="287"/>
      <c r="H216" s="287" t="str">
        <f>РПЗ!R216</f>
        <v>Нет</v>
      </c>
      <c r="I216" s="15" t="str">
        <f>РПЗ!W216</f>
        <v>Не применимо</v>
      </c>
      <c r="J216" s="282" t="str">
        <f>РПЗ!X216</f>
        <v>Не применимо</v>
      </c>
      <c r="K216" s="336" t="str">
        <f>РПЗ!Z216</f>
        <v>Не применимо</v>
      </c>
      <c r="L216" s="17"/>
      <c r="M216" s="18">
        <f>РПЗ!O216</f>
        <v>42736</v>
      </c>
      <c r="N216" s="289"/>
      <c r="O216" s="17"/>
      <c r="P216" s="17"/>
      <c r="Q216" s="17"/>
      <c r="R216" s="17"/>
      <c r="S216" s="17"/>
      <c r="T216" s="17"/>
      <c r="U216" s="18">
        <f>РПЗ!P216</f>
        <v>42767</v>
      </c>
      <c r="V216" s="17"/>
      <c r="W216" s="285">
        <f>РПЗ!L216</f>
        <v>244300</v>
      </c>
      <c r="X216" s="286"/>
      <c r="Y216" s="286"/>
      <c r="Z216" s="300"/>
      <c r="AA216" s="287"/>
      <c r="AB216" s="116"/>
      <c r="AC216" s="17"/>
      <c r="AD216" s="288"/>
      <c r="AE216" s="17"/>
      <c r="AF216" s="287"/>
      <c r="AG216" s="116"/>
      <c r="AH216" s="285" t="str">
        <f>IF(Таблица5[[#This Row],[30]]=0,"НД",Таблица5[[#This Row],[20]]-Таблица5[[#This Row],[30]])</f>
        <v>НД</v>
      </c>
      <c r="AI216" s="693" t="str">
        <f>IF(((1-Таблица5[[#This Row],[30]]/Таблица5[[#This Row],[20]])=1),"НД",(1-Таблица5[[#This Row],[30]]/Таблица5[[#This Row],[20]]))</f>
        <v>НД</v>
      </c>
      <c r="AJ216" s="116"/>
      <c r="AK216" s="116"/>
      <c r="AL216" s="694"/>
      <c r="AM216" s="51"/>
      <c r="AN216" s="288"/>
      <c r="AO216" s="377">
        <f>IF(Таблица5[[#This Row],[11]]=0,,MONTH(Таблица5[[#This Row],[11]]))</f>
        <v>0</v>
      </c>
    </row>
    <row r="217" spans="1:41" ht="80.099999999999994" customHeight="1" x14ac:dyDescent="0.25">
      <c r="A217" s="282" t="str">
        <f t="shared" si="3"/>
        <v>0645-00202</v>
      </c>
      <c r="B217" s="282" t="str">
        <f>РПЗ!$D217</f>
        <v>0645-00202. Поставка легкового автомобиля</v>
      </c>
      <c r="C217" s="282" t="str">
        <f>РПЗ!$AA217</f>
        <v>Автотранспортный цех Малинов Александр Сергеевич 297-30-23</v>
      </c>
      <c r="D217" s="15" t="str">
        <f>РПЗ!$AB217</f>
        <v>Заказчик</v>
      </c>
      <c r="E217" s="692"/>
      <c r="F217" s="282" t="str">
        <f>РПЗ!Q217</f>
        <v>ОЗП</v>
      </c>
      <c r="G217" s="287"/>
      <c r="H217" s="287" t="str">
        <f>РПЗ!R217</f>
        <v>Да</v>
      </c>
      <c r="I217" s="15" t="str">
        <f>РПЗ!W217</f>
        <v>Не применимо</v>
      </c>
      <c r="J217" s="282" t="str">
        <f>РПЗ!X217</f>
        <v>Не применимо</v>
      </c>
      <c r="K217" s="336" t="str">
        <f>РПЗ!Z217</f>
        <v>Не применимо</v>
      </c>
      <c r="L217" s="17"/>
      <c r="M217" s="18">
        <f>РПЗ!O217</f>
        <v>42826</v>
      </c>
      <c r="N217" s="289"/>
      <c r="O217" s="17"/>
      <c r="P217" s="17"/>
      <c r="Q217" s="17"/>
      <c r="R217" s="17"/>
      <c r="S217" s="17"/>
      <c r="T217" s="17"/>
      <c r="U217" s="18">
        <f>РПЗ!P217</f>
        <v>42887</v>
      </c>
      <c r="V217" s="17"/>
      <c r="W217" s="285">
        <f>РПЗ!L217</f>
        <v>1000000</v>
      </c>
      <c r="X217" s="286"/>
      <c r="Y217" s="286"/>
      <c r="Z217" s="300"/>
      <c r="AA217" s="287"/>
      <c r="AB217" s="116"/>
      <c r="AC217" s="17"/>
      <c r="AD217" s="288"/>
      <c r="AE217" s="17"/>
      <c r="AF217" s="287"/>
      <c r="AG217" s="116"/>
      <c r="AH217" s="285" t="str">
        <f>IF(Таблица5[[#This Row],[30]]=0,"НД",Таблица5[[#This Row],[20]]-Таблица5[[#This Row],[30]])</f>
        <v>НД</v>
      </c>
      <c r="AI217" s="693" t="str">
        <f>IF(((1-Таблица5[[#This Row],[30]]/Таблица5[[#This Row],[20]])=1),"НД",(1-Таблица5[[#This Row],[30]]/Таблица5[[#This Row],[20]]))</f>
        <v>НД</v>
      </c>
      <c r="AJ217" s="116"/>
      <c r="AK217" s="116"/>
      <c r="AL217" s="694"/>
      <c r="AM217" s="51"/>
      <c r="AN217" s="288"/>
      <c r="AO217" s="377">
        <f>IF(Таблица5[[#This Row],[11]]=0,,MONTH(Таблица5[[#This Row],[11]]))</f>
        <v>0</v>
      </c>
    </row>
    <row r="218" spans="1:41" ht="80.099999999999994" customHeight="1" x14ac:dyDescent="0.25">
      <c r="A218" s="282" t="str">
        <f t="shared" si="3"/>
        <v>0645-00203</v>
      </c>
      <c r="B218" s="282" t="str">
        <f>РПЗ!$D218</f>
        <v>0645-00203. Поставка легкового автомобиля</v>
      </c>
      <c r="C218" s="282" t="str">
        <f>РПЗ!$AA218</f>
        <v>Автотранспортный цех Малинов Александр Сергеевич 297-30-23</v>
      </c>
      <c r="D218" s="15" t="str">
        <f>РПЗ!$AB218</f>
        <v>Заказчик</v>
      </c>
      <c r="E218" s="692"/>
      <c r="F218" s="282" t="str">
        <f>РПЗ!Q218</f>
        <v>ОЗП</v>
      </c>
      <c r="G218" s="287"/>
      <c r="H218" s="287" t="str">
        <f>РПЗ!R218</f>
        <v>Да</v>
      </c>
      <c r="I218" s="15" t="str">
        <f>РПЗ!W218</f>
        <v>Не применимо</v>
      </c>
      <c r="J218" s="282" t="str">
        <f>РПЗ!X218</f>
        <v>Не применимо</v>
      </c>
      <c r="K218" s="336" t="str">
        <f>РПЗ!Z218</f>
        <v>Не применимо</v>
      </c>
      <c r="L218" s="17"/>
      <c r="M218" s="18">
        <f>РПЗ!O218</f>
        <v>42917</v>
      </c>
      <c r="N218" s="289"/>
      <c r="O218" s="17"/>
      <c r="P218" s="17"/>
      <c r="Q218" s="17"/>
      <c r="R218" s="17"/>
      <c r="S218" s="17"/>
      <c r="T218" s="17"/>
      <c r="U218" s="18">
        <f>РПЗ!P218</f>
        <v>42979</v>
      </c>
      <c r="V218" s="17"/>
      <c r="W218" s="285">
        <f>РПЗ!L218</f>
        <v>1400000</v>
      </c>
      <c r="X218" s="286"/>
      <c r="Y218" s="286"/>
      <c r="Z218" s="300"/>
      <c r="AA218" s="287"/>
      <c r="AB218" s="116"/>
      <c r="AC218" s="17"/>
      <c r="AD218" s="288"/>
      <c r="AE218" s="17"/>
      <c r="AF218" s="287"/>
      <c r="AG218" s="116"/>
      <c r="AH218" s="285" t="str">
        <f>IF(Таблица5[[#This Row],[30]]=0,"НД",Таблица5[[#This Row],[20]]-Таблица5[[#This Row],[30]])</f>
        <v>НД</v>
      </c>
      <c r="AI218" s="693" t="str">
        <f>IF(((1-Таблица5[[#This Row],[30]]/Таблица5[[#This Row],[20]])=1),"НД",(1-Таблица5[[#This Row],[30]]/Таблица5[[#This Row],[20]]))</f>
        <v>НД</v>
      </c>
      <c r="AJ218" s="116"/>
      <c r="AK218" s="116"/>
      <c r="AL218" s="694"/>
      <c r="AM218" s="51"/>
      <c r="AN218" s="288"/>
      <c r="AO218" s="377">
        <f>IF(Таблица5[[#This Row],[11]]=0,,MONTH(Таблица5[[#This Row],[11]]))</f>
        <v>0</v>
      </c>
    </row>
    <row r="219" spans="1:41" ht="63.75" x14ac:dyDescent="0.25">
      <c r="A219" s="282" t="str">
        <f t="shared" si="3"/>
        <v>0645-00204</v>
      </c>
      <c r="B219" s="282" t="str">
        <f>РПЗ!$D219</f>
        <v>0645-00204. Оказание услуг по информационному обслуживанию с использованием экземпляра(ов) "системы КонсультантПлюс" с 01.01.2017 по 31.12.2017</v>
      </c>
      <c r="C219" s="282" t="str">
        <f>РПЗ!$AA219</f>
        <v>Юридическое бюро Алексеев Д.А.</v>
      </c>
      <c r="D219" s="15" t="str">
        <f>РПЗ!$AB219</f>
        <v>Заказчик</v>
      </c>
      <c r="E219" s="692"/>
      <c r="F219" s="282" t="str">
        <f>РПЗ!Q219</f>
        <v>ЕП</v>
      </c>
      <c r="G219" s="287"/>
      <c r="H219" s="287" t="str">
        <f>РПЗ!R219</f>
        <v>Нет</v>
      </c>
      <c r="I219" s="15" t="str">
        <f>РПЗ!W219</f>
        <v>6.6.2 (31)</v>
      </c>
      <c r="J219" s="282">
        <f>РПЗ!X219</f>
        <v>7825352662</v>
      </c>
      <c r="K219" s="336">
        <f>РПЗ!Z219</f>
        <v>694007.66</v>
      </c>
      <c r="L219" s="17"/>
      <c r="M219" s="18">
        <f>РПЗ!O219</f>
        <v>42736</v>
      </c>
      <c r="N219" s="289"/>
      <c r="O219" s="17"/>
      <c r="P219" s="17"/>
      <c r="Q219" s="17"/>
      <c r="R219" s="17"/>
      <c r="S219" s="17"/>
      <c r="T219" s="17"/>
      <c r="U219" s="18">
        <f>РПЗ!P219</f>
        <v>43070</v>
      </c>
      <c r="V219" s="17"/>
      <c r="W219" s="285">
        <f>РПЗ!L219</f>
        <v>736475.53</v>
      </c>
      <c r="X219" s="286"/>
      <c r="Y219" s="286"/>
      <c r="Z219" s="300"/>
      <c r="AA219" s="287"/>
      <c r="AB219" s="116"/>
      <c r="AC219" s="17"/>
      <c r="AD219" s="288"/>
      <c r="AE219" s="17"/>
      <c r="AF219" s="287"/>
      <c r="AG219" s="116"/>
      <c r="AH219" s="285" t="str">
        <f>IF(Таблица5[[#This Row],[30]]=0,"НД",Таблица5[[#This Row],[20]]-Таблица5[[#This Row],[30]])</f>
        <v>НД</v>
      </c>
      <c r="AI219" s="693" t="str">
        <f>IF(((1-Таблица5[[#This Row],[30]]/Таблица5[[#This Row],[20]])=1),"НД",(1-Таблица5[[#This Row],[30]]/Таблица5[[#This Row],[20]]))</f>
        <v>НД</v>
      </c>
      <c r="AJ219" s="116"/>
      <c r="AK219" s="116"/>
      <c r="AL219" s="694"/>
      <c r="AM219" s="51"/>
      <c r="AN219" s="288"/>
      <c r="AO219" s="377">
        <f>IF(Таблица5[[#This Row],[11]]=0,,MONTH(Таблица5[[#This Row],[11]]))</f>
        <v>0</v>
      </c>
    </row>
    <row r="220" spans="1:41" ht="204" x14ac:dyDescent="0.25">
      <c r="A220" s="282" t="str">
        <f t="shared" si="3"/>
        <v>0645-00205</v>
      </c>
      <c r="B220" s="282" t="str">
        <f>РПЗ!$D220</f>
        <v xml:space="preserve">Техническое обслуживание системы автоматической охранно-пожарной сигнализации, речевого оповещения и эвакуации, системы противопожарного водопровода, пожарных гидрантов, системы дымоудаления, системы подпора воздуха лифтовых шахт, системы управления лифтами и систем спринклерного, аэрозольного, порошкового пожаротушения на объектах Заказчика, АО «НПО «Импульс»,  расположенных по адресам: г. Санкт-Петербург, ул. Киришская д.2, лит. А, ул. Обручевых д.1 </v>
      </c>
      <c r="C220" s="282" t="str">
        <f>РПЗ!$AA220</f>
        <v>Служба Главного Инженера Мартьянов Александр Георгиевич              594-57-66</v>
      </c>
      <c r="D220" s="15" t="str">
        <f>РПЗ!$AB220</f>
        <v>Заказчик</v>
      </c>
      <c r="E220" s="692"/>
      <c r="F220" s="282" t="str">
        <f>РПЗ!Q220</f>
        <v>ЕП</v>
      </c>
      <c r="G220" s="287"/>
      <c r="H220" s="287" t="str">
        <f>РПЗ!R220</f>
        <v>Нет</v>
      </c>
      <c r="I220" s="15" t="str">
        <f>РПЗ!W220</f>
        <v>6.6.2(14)</v>
      </c>
      <c r="J220" s="282">
        <f>РПЗ!X220</f>
        <v>7704867113</v>
      </c>
      <c r="K220" s="336">
        <f>РПЗ!Z220</f>
        <v>2555606.09</v>
      </c>
      <c r="L220" s="17"/>
      <c r="M220" s="18">
        <f>РПЗ!O220</f>
        <v>42736</v>
      </c>
      <c r="N220" s="289"/>
      <c r="O220" s="17"/>
      <c r="P220" s="17"/>
      <c r="Q220" s="17"/>
      <c r="R220" s="17"/>
      <c r="S220" s="17"/>
      <c r="T220" s="17"/>
      <c r="U220" s="18">
        <f>РПЗ!P220</f>
        <v>43070</v>
      </c>
      <c r="V220" s="17"/>
      <c r="W220" s="285">
        <f>РПЗ!L220</f>
        <v>2555606.09</v>
      </c>
      <c r="X220" s="286"/>
      <c r="Y220" s="286"/>
      <c r="Z220" s="300"/>
      <c r="AA220" s="287"/>
      <c r="AB220" s="116"/>
      <c r="AC220" s="17"/>
      <c r="AD220" s="288"/>
      <c r="AE220" s="17"/>
      <c r="AF220" s="287"/>
      <c r="AG220" s="116"/>
      <c r="AH220" s="285" t="str">
        <f>IF(Таблица5[[#This Row],[30]]=0,"НД",Таблица5[[#This Row],[20]]-Таблица5[[#This Row],[30]])</f>
        <v>НД</v>
      </c>
      <c r="AI220" s="693" t="str">
        <f>IF(((1-Таблица5[[#This Row],[30]]/Таблица5[[#This Row],[20]])=1),"НД",(1-Таблица5[[#This Row],[30]]/Таблица5[[#This Row],[20]]))</f>
        <v>НД</v>
      </c>
      <c r="AJ220" s="116"/>
      <c r="AK220" s="116"/>
      <c r="AL220" s="694"/>
      <c r="AM220" s="51"/>
      <c r="AN220" s="288"/>
      <c r="AO220" s="377">
        <f>IF(Таблица5[[#This Row],[11]]=0,,MONTH(Таблица5[[#This Row],[11]]))</f>
        <v>0</v>
      </c>
    </row>
    <row r="221" spans="1:41" x14ac:dyDescent="0.25">
      <c r="A221" s="282">
        <f t="shared" si="3"/>
        <v>0</v>
      </c>
      <c r="B221" s="282">
        <f>РПЗ!$D221</f>
        <v>0</v>
      </c>
      <c r="C221" s="282">
        <f>РПЗ!$AA221</f>
        <v>0</v>
      </c>
      <c r="D221" s="15">
        <f>РПЗ!$AB221</f>
        <v>0</v>
      </c>
      <c r="E221" s="692"/>
      <c r="F221" s="282">
        <f>РПЗ!Q221</f>
        <v>0</v>
      </c>
      <c r="G221" s="287"/>
      <c r="H221" s="287">
        <f>РПЗ!R221</f>
        <v>0</v>
      </c>
      <c r="I221" s="15">
        <f>РПЗ!W221</f>
        <v>0</v>
      </c>
      <c r="J221" s="282">
        <f>РПЗ!X221</f>
        <v>0</v>
      </c>
      <c r="K221" s="336">
        <f>РПЗ!Z221</f>
        <v>0</v>
      </c>
      <c r="L221" s="17"/>
      <c r="M221" s="18">
        <f>РПЗ!O221</f>
        <v>0</v>
      </c>
      <c r="N221" s="289"/>
      <c r="O221" s="17"/>
      <c r="P221" s="17"/>
      <c r="Q221" s="17"/>
      <c r="R221" s="17"/>
      <c r="S221" s="17"/>
      <c r="T221" s="17"/>
      <c r="U221" s="18">
        <f>РПЗ!P221</f>
        <v>0</v>
      </c>
      <c r="V221" s="17"/>
      <c r="W221" s="285">
        <f>РПЗ!L221</f>
        <v>0</v>
      </c>
      <c r="X221" s="286"/>
      <c r="Y221" s="286"/>
      <c r="Z221" s="300"/>
      <c r="AA221" s="287"/>
      <c r="AB221" s="116"/>
      <c r="AC221" s="17"/>
      <c r="AD221" s="288"/>
      <c r="AE221" s="17"/>
      <c r="AF221" s="287"/>
      <c r="AG221" s="116"/>
      <c r="AH221" s="285" t="str">
        <f>IF(Таблица5[[#This Row],[30]]=0,"НД",Таблица5[[#This Row],[20]]-Таблица5[[#This Row],[30]])</f>
        <v>НД</v>
      </c>
      <c r="AI221" s="693" t="e">
        <f>IF(((1-Таблица5[[#This Row],[30]]/Таблица5[[#This Row],[20]])=1),"НД",(1-Таблица5[[#This Row],[30]]/Таблица5[[#This Row],[20]]))</f>
        <v>#DIV/0!</v>
      </c>
      <c r="AJ221" s="116"/>
      <c r="AK221" s="116"/>
      <c r="AL221" s="694"/>
      <c r="AM221" s="51"/>
      <c r="AN221" s="288"/>
      <c r="AO221" s="377">
        <f>IF(Таблица5[[#This Row],[11]]=0,,MONTH(Таблица5[[#This Row],[11]]))</f>
        <v>0</v>
      </c>
    </row>
    <row r="222" spans="1:41" x14ac:dyDescent="0.25">
      <c r="A222" s="282">
        <f t="shared" si="3"/>
        <v>0</v>
      </c>
      <c r="B222" s="282">
        <f>РПЗ!$D222</f>
        <v>0</v>
      </c>
      <c r="C222" s="282">
        <f>РПЗ!$AA222</f>
        <v>0</v>
      </c>
      <c r="D222" s="15">
        <f>РПЗ!$AB222</f>
        <v>0</v>
      </c>
      <c r="E222" s="692"/>
      <c r="F222" s="282">
        <f>РПЗ!Q222</f>
        <v>0</v>
      </c>
      <c r="G222" s="287"/>
      <c r="H222" s="287">
        <f>РПЗ!R222</f>
        <v>0</v>
      </c>
      <c r="I222" s="15">
        <f>РПЗ!W222</f>
        <v>0</v>
      </c>
      <c r="J222" s="282">
        <f>РПЗ!X222</f>
        <v>0</v>
      </c>
      <c r="K222" s="336">
        <f>РПЗ!Z222</f>
        <v>0</v>
      </c>
      <c r="L222" s="17"/>
      <c r="M222" s="18">
        <f>РПЗ!O222</f>
        <v>0</v>
      </c>
      <c r="N222" s="289"/>
      <c r="O222" s="17"/>
      <c r="P222" s="17"/>
      <c r="Q222" s="17"/>
      <c r="R222" s="17"/>
      <c r="S222" s="17"/>
      <c r="T222" s="17"/>
      <c r="U222" s="18">
        <f>РПЗ!P222</f>
        <v>0</v>
      </c>
      <c r="V222" s="17"/>
      <c r="W222" s="285">
        <f>РПЗ!L222</f>
        <v>0</v>
      </c>
      <c r="X222" s="286"/>
      <c r="Y222" s="286"/>
      <c r="Z222" s="300"/>
      <c r="AA222" s="287"/>
      <c r="AB222" s="116"/>
      <c r="AC222" s="17"/>
      <c r="AD222" s="288"/>
      <c r="AE222" s="17"/>
      <c r="AF222" s="287"/>
      <c r="AG222" s="116"/>
      <c r="AH222" s="285" t="str">
        <f>IF(Таблица5[[#This Row],[30]]=0,"НД",Таблица5[[#This Row],[20]]-Таблица5[[#This Row],[30]])</f>
        <v>НД</v>
      </c>
      <c r="AI222" s="693" t="e">
        <f>IF(((1-Таблица5[[#This Row],[30]]/Таблица5[[#This Row],[20]])=1),"НД",(1-Таблица5[[#This Row],[30]]/Таблица5[[#This Row],[20]]))</f>
        <v>#DIV/0!</v>
      </c>
      <c r="AJ222" s="116"/>
      <c r="AK222" s="116"/>
      <c r="AL222" s="694"/>
      <c r="AM222" s="51"/>
      <c r="AN222" s="288"/>
      <c r="AO222" s="377">
        <f>IF(Таблица5[[#This Row],[11]]=0,,MONTH(Таблица5[[#This Row],[11]]))</f>
        <v>0</v>
      </c>
    </row>
    <row r="223" spans="1:41" x14ac:dyDescent="0.25">
      <c r="A223" s="282">
        <f t="shared" si="3"/>
        <v>0</v>
      </c>
      <c r="B223" s="282">
        <f>РПЗ!$D223</f>
        <v>0</v>
      </c>
      <c r="C223" s="282">
        <f>РПЗ!$AA223</f>
        <v>0</v>
      </c>
      <c r="D223" s="15">
        <f>РПЗ!$AB223</f>
        <v>0</v>
      </c>
      <c r="E223" s="692"/>
      <c r="F223" s="282">
        <f>РПЗ!Q223</f>
        <v>0</v>
      </c>
      <c r="G223" s="287"/>
      <c r="H223" s="287">
        <f>РПЗ!R223</f>
        <v>0</v>
      </c>
      <c r="I223" s="15">
        <f>РПЗ!W223</f>
        <v>0</v>
      </c>
      <c r="J223" s="282">
        <f>РПЗ!X223</f>
        <v>0</v>
      </c>
      <c r="K223" s="336">
        <f>РПЗ!Z223</f>
        <v>0</v>
      </c>
      <c r="L223" s="17"/>
      <c r="M223" s="18">
        <f>РПЗ!O223</f>
        <v>0</v>
      </c>
      <c r="N223" s="289"/>
      <c r="O223" s="17"/>
      <c r="P223" s="17"/>
      <c r="Q223" s="17"/>
      <c r="R223" s="17"/>
      <c r="S223" s="17"/>
      <c r="T223" s="17"/>
      <c r="U223" s="18">
        <f>РПЗ!P223</f>
        <v>0</v>
      </c>
      <c r="V223" s="17"/>
      <c r="W223" s="285">
        <f>РПЗ!L223</f>
        <v>0</v>
      </c>
      <c r="X223" s="286"/>
      <c r="Y223" s="286"/>
      <c r="Z223" s="300"/>
      <c r="AA223" s="287"/>
      <c r="AB223" s="116"/>
      <c r="AC223" s="17"/>
      <c r="AD223" s="288"/>
      <c r="AE223" s="17"/>
      <c r="AF223" s="287"/>
      <c r="AG223" s="116"/>
      <c r="AH223" s="285" t="str">
        <f>IF(Таблица5[[#This Row],[30]]=0,"НД",Таблица5[[#This Row],[20]]-Таблица5[[#This Row],[30]])</f>
        <v>НД</v>
      </c>
      <c r="AI223" s="693" t="e">
        <f>IF(((1-Таблица5[[#This Row],[30]]/Таблица5[[#This Row],[20]])=1),"НД",(1-Таблица5[[#This Row],[30]]/Таблица5[[#This Row],[20]]))</f>
        <v>#DIV/0!</v>
      </c>
      <c r="AJ223" s="116"/>
      <c r="AK223" s="116"/>
      <c r="AL223" s="694"/>
      <c r="AM223" s="51"/>
      <c r="AN223" s="288"/>
      <c r="AO223" s="377">
        <f>IF(Таблица5[[#This Row],[11]]=0,,MONTH(Таблица5[[#This Row],[11]]))</f>
        <v>0</v>
      </c>
    </row>
    <row r="224" spans="1:41" x14ac:dyDescent="0.25">
      <c r="A224" s="282">
        <f t="shared" si="3"/>
        <v>0</v>
      </c>
      <c r="B224" s="282">
        <f>РПЗ!$D224</f>
        <v>0</v>
      </c>
      <c r="C224" s="282">
        <f>РПЗ!$AA224</f>
        <v>0</v>
      </c>
      <c r="D224" s="15">
        <f>РПЗ!$AB224</f>
        <v>0</v>
      </c>
      <c r="E224" s="692"/>
      <c r="F224" s="282">
        <f>РПЗ!Q224</f>
        <v>0</v>
      </c>
      <c r="G224" s="287"/>
      <c r="H224" s="287">
        <f>РПЗ!R224</f>
        <v>0</v>
      </c>
      <c r="I224" s="15">
        <f>РПЗ!W224</f>
        <v>0</v>
      </c>
      <c r="J224" s="282">
        <f>РПЗ!X224</f>
        <v>0</v>
      </c>
      <c r="K224" s="336">
        <f>РПЗ!Z224</f>
        <v>0</v>
      </c>
      <c r="L224" s="17"/>
      <c r="M224" s="18">
        <f>РПЗ!O224</f>
        <v>0</v>
      </c>
      <c r="N224" s="289"/>
      <c r="O224" s="17"/>
      <c r="P224" s="17"/>
      <c r="Q224" s="17"/>
      <c r="R224" s="17"/>
      <c r="S224" s="17"/>
      <c r="T224" s="17"/>
      <c r="U224" s="18">
        <f>РПЗ!P224</f>
        <v>0</v>
      </c>
      <c r="V224" s="17"/>
      <c r="W224" s="285">
        <f>РПЗ!L224</f>
        <v>0</v>
      </c>
      <c r="X224" s="286"/>
      <c r="Y224" s="286"/>
      <c r="Z224" s="300"/>
      <c r="AA224" s="287"/>
      <c r="AB224" s="116"/>
      <c r="AC224" s="17"/>
      <c r="AD224" s="288"/>
      <c r="AE224" s="17"/>
      <c r="AF224" s="287"/>
      <c r="AG224" s="116"/>
      <c r="AH224" s="285" t="str">
        <f>IF(Таблица5[[#This Row],[30]]=0,"НД",Таблица5[[#This Row],[20]]-Таблица5[[#This Row],[30]])</f>
        <v>НД</v>
      </c>
      <c r="AI224" s="693" t="e">
        <f>IF(((1-Таблица5[[#This Row],[30]]/Таблица5[[#This Row],[20]])=1),"НД",(1-Таблица5[[#This Row],[30]]/Таблица5[[#This Row],[20]]))</f>
        <v>#DIV/0!</v>
      </c>
      <c r="AJ224" s="116"/>
      <c r="AK224" s="116"/>
      <c r="AL224" s="694"/>
      <c r="AM224" s="51"/>
      <c r="AN224" s="288"/>
      <c r="AO224" s="377">
        <f>IF(Таблица5[[#This Row],[11]]=0,,MONTH(Таблица5[[#This Row],[11]]))</f>
        <v>0</v>
      </c>
    </row>
    <row r="225" spans="1:41" x14ac:dyDescent="0.25">
      <c r="A225" s="282">
        <f t="shared" si="3"/>
        <v>0</v>
      </c>
      <c r="B225" s="282">
        <f>РПЗ!$D225</f>
        <v>0</v>
      </c>
      <c r="C225" s="282">
        <f>РПЗ!$AA225</f>
        <v>0</v>
      </c>
      <c r="D225" s="15">
        <f>РПЗ!$AB225</f>
        <v>0</v>
      </c>
      <c r="E225" s="692"/>
      <c r="F225" s="282">
        <f>РПЗ!Q225</f>
        <v>0</v>
      </c>
      <c r="G225" s="287"/>
      <c r="H225" s="287">
        <f>РПЗ!R225</f>
        <v>0</v>
      </c>
      <c r="I225" s="15">
        <f>РПЗ!W225</f>
        <v>0</v>
      </c>
      <c r="J225" s="282">
        <f>РПЗ!X225</f>
        <v>0</v>
      </c>
      <c r="K225" s="336">
        <f>РПЗ!Z225</f>
        <v>0</v>
      </c>
      <c r="L225" s="17"/>
      <c r="M225" s="18">
        <f>РПЗ!O225</f>
        <v>0</v>
      </c>
      <c r="N225" s="289"/>
      <c r="O225" s="17"/>
      <c r="P225" s="17"/>
      <c r="Q225" s="17"/>
      <c r="R225" s="17"/>
      <c r="S225" s="17"/>
      <c r="T225" s="17"/>
      <c r="U225" s="18">
        <f>РПЗ!P225</f>
        <v>0</v>
      </c>
      <c r="V225" s="17"/>
      <c r="W225" s="285">
        <f>РПЗ!L225</f>
        <v>0</v>
      </c>
      <c r="X225" s="286"/>
      <c r="Y225" s="286"/>
      <c r="Z225" s="300"/>
      <c r="AA225" s="287"/>
      <c r="AB225" s="116"/>
      <c r="AC225" s="17"/>
      <c r="AD225" s="288"/>
      <c r="AE225" s="17"/>
      <c r="AF225" s="287"/>
      <c r="AG225" s="116"/>
      <c r="AH225" s="285" t="str">
        <f>IF(Таблица5[[#This Row],[30]]=0,"НД",Таблица5[[#This Row],[20]]-Таблица5[[#This Row],[30]])</f>
        <v>НД</v>
      </c>
      <c r="AI225" s="693" t="e">
        <f>IF(((1-Таблица5[[#This Row],[30]]/Таблица5[[#This Row],[20]])=1),"НД",(1-Таблица5[[#This Row],[30]]/Таблица5[[#This Row],[20]]))</f>
        <v>#DIV/0!</v>
      </c>
      <c r="AJ225" s="116"/>
      <c r="AK225" s="116"/>
      <c r="AL225" s="694"/>
      <c r="AM225" s="51"/>
      <c r="AN225" s="288"/>
      <c r="AO225" s="377">
        <f>IF(Таблица5[[#This Row],[11]]=0,,MONTH(Таблица5[[#This Row],[11]]))</f>
        <v>0</v>
      </c>
    </row>
    <row r="226" spans="1:41" x14ac:dyDescent="0.25">
      <c r="A226" s="282">
        <f t="shared" si="3"/>
        <v>0</v>
      </c>
      <c r="B226" s="282">
        <f>РПЗ!$D226</f>
        <v>0</v>
      </c>
      <c r="C226" s="282">
        <f>РПЗ!$AA226</f>
        <v>0</v>
      </c>
      <c r="D226" s="691" t="e">
        <f>РПЗ!#REF!</f>
        <v>#REF!</v>
      </c>
      <c r="E226" s="692"/>
      <c r="F226" s="282">
        <f>РПЗ!Q226</f>
        <v>0</v>
      </c>
      <c r="G226" s="287"/>
      <c r="H226" s="287">
        <f>РПЗ!R226</f>
        <v>0</v>
      </c>
      <c r="I226" s="15">
        <f>РПЗ!W226</f>
        <v>0</v>
      </c>
      <c r="J226" s="282">
        <f>РПЗ!X226</f>
        <v>0</v>
      </c>
      <c r="K226" s="336">
        <f>РПЗ!Z226</f>
        <v>0</v>
      </c>
      <c r="L226" s="17"/>
      <c r="M226" s="18">
        <f>РПЗ!O226</f>
        <v>0</v>
      </c>
      <c r="N226" s="289"/>
      <c r="O226" s="17"/>
      <c r="P226" s="17"/>
      <c r="Q226" s="17"/>
      <c r="R226" s="17"/>
      <c r="S226" s="17"/>
      <c r="T226" s="17"/>
      <c r="U226" s="18">
        <f>РПЗ!P226</f>
        <v>0</v>
      </c>
      <c r="V226" s="17"/>
      <c r="W226" s="285">
        <f>РПЗ!L226</f>
        <v>0</v>
      </c>
      <c r="X226" s="286"/>
      <c r="Y226" s="286"/>
      <c r="Z226" s="300"/>
      <c r="AA226" s="287"/>
      <c r="AB226" s="116"/>
      <c r="AC226" s="17"/>
      <c r="AD226" s="288"/>
      <c r="AE226" s="17"/>
      <c r="AF226" s="287"/>
      <c r="AG226" s="116"/>
      <c r="AH226" s="285" t="str">
        <f>IF(Таблица5[[#This Row],[30]]=0,"НД",Таблица5[[#This Row],[20]]-Таблица5[[#This Row],[30]])</f>
        <v>НД</v>
      </c>
      <c r="AI226" s="693" t="e">
        <f>IF(((1-Таблица5[[#This Row],[30]]/Таблица5[[#This Row],[20]])=1),"НД",(1-Таблица5[[#This Row],[30]]/Таблица5[[#This Row],[20]]))</f>
        <v>#DIV/0!</v>
      </c>
      <c r="AJ226" s="116"/>
      <c r="AK226" s="116"/>
      <c r="AL226" s="694"/>
      <c r="AM226" s="51"/>
      <c r="AN226" s="288"/>
      <c r="AO226" s="377">
        <f>IF(Таблица5[[#This Row],[11]]=0,,MONTH(Таблица5[[#This Row],[11]]))</f>
        <v>0</v>
      </c>
    </row>
  </sheetData>
  <sheetProtection insertRows="0" autoFilter="0"/>
  <dataConsolidate/>
  <mergeCells count="37">
    <mergeCell ref="AD12:AE13"/>
    <mergeCell ref="C12:C14"/>
    <mergeCell ref="D12:D14"/>
    <mergeCell ref="E12:E14"/>
    <mergeCell ref="L12:L13"/>
    <mergeCell ref="F12:F14"/>
    <mergeCell ref="I13:I14"/>
    <mergeCell ref="J13:J14"/>
    <mergeCell ref="K13:K14"/>
    <mergeCell ref="I12:K12"/>
    <mergeCell ref="AN12:AN14"/>
    <mergeCell ref="A12:A14"/>
    <mergeCell ref="AO12:AO14"/>
    <mergeCell ref="P13:Q13"/>
    <mergeCell ref="R13:S13"/>
    <mergeCell ref="U13:V13"/>
    <mergeCell ref="W12:W13"/>
    <mergeCell ref="Z12:Z14"/>
    <mergeCell ref="AJ12:AL12"/>
    <mergeCell ref="AM12:AM13"/>
    <mergeCell ref="AJ14:AL14"/>
    <mergeCell ref="AA12:AA14"/>
    <mergeCell ref="AH12:AI12"/>
    <mergeCell ref="AG12:AG14"/>
    <mergeCell ref="B12:B14"/>
    <mergeCell ref="AF12:AF13"/>
    <mergeCell ref="W1:AC1"/>
    <mergeCell ref="W2:AC2"/>
    <mergeCell ref="G1:N1"/>
    <mergeCell ref="G12:G14"/>
    <mergeCell ref="X12:X14"/>
    <mergeCell ref="Y12:Y14"/>
    <mergeCell ref="H12:H14"/>
    <mergeCell ref="M12:V12"/>
    <mergeCell ref="M13:N13"/>
    <mergeCell ref="AB12:AC12"/>
    <mergeCell ref="AB13:AB14"/>
  </mergeCells>
  <conditionalFormatting sqref="M16:M226">
    <cfRule type="cellIs" dxfId="52" priority="3" operator="equal">
      <formula>0</formula>
    </cfRule>
  </conditionalFormatting>
  <conditionalFormatting sqref="U16:U226">
    <cfRule type="cellIs" dxfId="51" priority="2" operator="equal">
      <formula>0</formula>
    </cfRule>
  </conditionalFormatting>
  <conditionalFormatting sqref="B3:B9">
    <cfRule type="cellIs" dxfId="50" priority="1" operator="equal">
      <formula>0</formula>
    </cfRule>
  </conditionalFormatting>
  <dataValidations count="29">
    <dataValidation allowBlank="1" showInputMessage="1" showErrorMessage="1" promptTitle="Не требует заполнения." prompt="Заполнение происходит автоматически на основании сведений вкладки «РПЗ»." sqref="M14 W14 B12:D14 A12"/>
    <dataValidation allowBlank="1" showInputMessage="1" showErrorMessage="1" promptTitle="Пример:" prompt=" 01.01.2015" sqref="L14 O14:S14"/>
    <dataValidation allowBlank="1" showErrorMessage="1" promptTitle="Подсказка:" prompt="Способ закупки выбирается из всплывающего списка._x000a__x000a_В том числе, способ закупки «ЕП» в случае признания закупки несостоявшийся и принятия решения о заключении договора с единственным поставщиком." sqref="E12:E14 G12:G14 H12"/>
    <dataValidation allowBlank="1" showErrorMessage="1" promptTitle="Не требует заполнения." prompt="Заполнение происходит автоматически на основании сведений вкладки «РПЗ»._x000a__x000a_В случае проведения закупки у ЕП по результатам несостоявшейся конкурентной процедуры из выпадающего списка выбирается значение «6.6.1(32)»" sqref="F12:F14 I12 I13:K13"/>
    <dataValidation allowBlank="1" showInputMessage="1" showErrorMessage="1" promptTitle="Пример:" prompt=" 01.2015_x000a__x000a_01.2015-12.2016" sqref="T14"/>
    <dataValidation allowBlank="1" showInputMessage="1" showErrorMessage="1" promptTitle="Не требует заполнения." prompt="Заполнение происходит автоматически на основании сведений вкладки «РПЗ»._x000a__x000a_За исключением случаев, когда фактически объявленная НМЦ отличается от запланированной НМЦ не более чем на 10 %._x000a_В этом случае НМЦ меняется на фактическую." sqref="U14"/>
    <dataValidation allowBlank="1" showInputMessage="1" showErrorMessage="1" promptTitle="Подсказка:" prompt="Указывается количество участников, подавших предложения в соответствии с протоколом открытия доступа/вскрытия конвертов к поданным заявкам по соответствующему лоту._x000a__x000a_В случае если не подано ни одной заявки, поле заполняется с нулевым значением (пример: 0)" sqref="X12:X14"/>
    <dataValidation allowBlank="1" showInputMessage="1" showErrorMessage="1" promptTitle="Подсказка:" prompt="Указывается количество участников, предложения которых были отклонены в соответствии с протоколом рассмотрения заявок по соответствующему лоту._x000a__x000a_Если не отклонено ни одного предложения, поле заполняется с нулевым значением (пример: 0)" sqref="Y12:Y14"/>
    <dataValidation allowBlank="1" showInputMessage="1" showErrorMessage="1" promptTitle="Подсказка:" prompt="Указывается в строгом соответствии с выпиской из: ЕГРЮЛ – для юридических лиц; ЕГРИП – для индивидуальных предпринимателей; свидетельства для постановки на учет – для физических лиц._x000a__x000a_Пример:7654321098" sqref="Z12:Z14"/>
    <dataValidation allowBlank="1" showInputMessage="1" showErrorMessage="1" promptTitle="Пример:" prompt="ООО &quot;Наименование Плюс&quot;" sqref="AA12:AA14"/>
    <dataValidation allowBlank="1" showInputMessage="1" showErrorMessage="1" promptTitle="Подсказка:" prompt="Не допускается использование пробелов, знаков препинания (за исключением запятых для разделения целой и дробной частей числа) и текстовой части._x000a__x000a_Пример: 1000000_x000a_Это значение будет автоматически преобразовано в вид: _x000a_1 000 000,00" sqref="AG12:AG14"/>
    <dataValidation allowBlank="1" showInputMessage="1" showErrorMessage="1" promptTitle="Пример:" prompt="01.2015_x000a_или_x000a_01.2015-12.2016" sqref="AC14"/>
    <dataValidation allowBlank="1" showInputMessage="1" showErrorMessage="1" promptTitle="Пример:" prompt="01.2015_x000a_или_x000a_01.2015-12.2016_x000a__x000a_Поле желательно для заполнения" sqref="V14"/>
    <dataValidation allowBlank="1" showInputMessage="1" showErrorMessage="1" promptTitle="Подсказка:" prompt="Указывается дата договора по соответствующему лоту_x000a__x000a_Пример: 01.01.2015" sqref="AE14"/>
    <dataValidation allowBlank="1" showInputMessage="1" showErrorMessage="1" promptTitle="Не требует заполнения." prompt="Заполнение происходит автоматически на основании сведений Отчета." sqref="AH12:AI14"/>
    <dataValidation allowBlank="1" showInputMessage="1" showErrorMessage="1" promptTitle="Подсказка:" prompt="Обязательно для заполнения по каждому лоту, по результатам проведения которого заключен договор с субъектом МСП при условии, что проведенный лот был конкурентной процедурой и в нем принимали участие как субъекты МСП, так и субъекты, не относящиеся к МСП" sqref="AJ13"/>
    <dataValidation allowBlank="1" showInputMessage="1" showErrorMessage="1" promptTitle="Подсказка:" prompt="Обязательно для заполнения по каждому лоту, по результатам проведения которого заключен договор с субъектом МСП при условии, что в нем принимали участие только субъекты МСП или проведена закупка у единственного поставщика (субъекта МСП)." sqref="AK13"/>
    <dataValidation allowBlank="1" showInputMessage="1" showErrorMessage="1" promptTitle="Подсказка:" prompt="Для каждого лота, по результатам проведения которого заключен договор с субъектом, не относящимся к субъектам МСП, заключившим договор с субъектом/субъектами МСП при условии, что было установлено требование о привлечении на субподряд субъектов МСП" sqref="AL13"/>
    <dataValidation allowBlank="1" showInputMessage="1" showErrorMessage="1" promptTitle="Подсказка:" prompt="В случае наличия жалоб по соответствующему лоту указывается «Да». В случае отсутствия жалоб указывает «Нет»." sqref="AM12:AM13"/>
    <dataValidation allowBlank="1" showInputMessage="1" showErrorMessage="1" promptTitle="Подсказка:" prompt="Поле не обязательно для заполнения и служит для указания справочной информации, не вошедшей в прочие поля (например, указание официального курса ЦБ РФ для пересчета из валюты в рубли)" sqref="AN12:AN14"/>
    <dataValidation allowBlank="1" showInputMessage="1" showErrorMessage="1" promptTitle="Подсказка:" prompt="Заполняется в случае, если договор заключен в целях реализации обязательств по заключенному контракту (договору)" sqref="AF12:AF14"/>
    <dataValidation allowBlank="1" showInputMessage="1" showErrorMessage="1" promptTitle="Подсказка:" prompt="Указывается номер договора по соответствующему лоту, присвоенного в соответствии с правилами внутреннего документооборота, принятыми в Корпорации_x000a__x000a_Пример: 123" sqref="AD14"/>
    <dataValidation allowBlank="1" showInputMessage="1" showErrorMessage="1" promptTitle="Подсказка:" prompt="В случае наличия жалоб по соответствующему лоту указывается «Да». В случае отсутствия жалоб указывается «Нет»." sqref="AM14"/>
    <dataValidation type="date" allowBlank="1" showInputMessage="1" showErrorMessage="1" errorTitle="Ошибка ввода" error="Дата должна быть в формате: &quot;дд.мм.гггг&quot;_x000a__x000a_Пример: 01.01.2015" sqref="N16:N226">
      <formula1>1</formula1>
      <formula2>2958465</formula2>
    </dataValidation>
    <dataValidation allowBlank="1" showInputMessage="1" showErrorMessage="1" errorTitle="Ошибка ввода" error="Дата должна быть в формате: &quot;дд.мм.гггг&quot;_x000a__x000a_Пример: 01.01.2015" sqref="O16:V226 L16:L226"/>
    <dataValidation allowBlank="1" showInputMessage="1" showErrorMessage="1" errorTitle="Ошибка ввода" error="Необходимо выбрать из выпадающего списка" sqref="AJ16:AL226"/>
    <dataValidation allowBlank="1" showErrorMessage="1" errorTitle="Ошибка ввода" error="Дата должна быть в формате: &quot;дд.мм.гггг&quot;_x000a__x000a_Пример: 01.01.2015" sqref="AO16:AO226"/>
    <dataValidation allowBlank="1" showInputMessage="1" showErrorMessage="1" promptTitle="Пример:" prompt="Январь 2015" sqref="N14"/>
    <dataValidation allowBlank="1" showErrorMessage="1" promptTitle="Пример:" prompt="Январь 2015" sqref="AO12:AO14"/>
  </dataValidations>
  <pageMargins left="0.31496062992125984" right="0.31496062992125984" top="0.35433070866141736" bottom="0.35433070866141736" header="0" footer="0.31496062992125984"/>
  <pageSetup paperSize="8" scale="29" fitToHeight="0" orientation="landscape"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Справочно!$C$12:$C$34</xm:f>
          </x14:formula1>
          <xm:sqref>G16:G226</xm:sqref>
        </x14:dataValidation>
        <x14:dataValidation type="list" allowBlank="1" showInputMessage="1" showErrorMessage="1" errorTitle="Ошибка ввода" error="Необходимо выбрать из выпадающего списка">
          <x14:formula1>
            <xm:f>Справочно!$E$16:$E$18</xm:f>
          </x14:formula1>
          <xm:sqref>AM16:AM226</xm:sqref>
        </x14:dataValidation>
        <x14:dataValidation type="list" allowBlank="1" showInputMessage="1" showErrorMessage="1">
          <x14:formula1>
            <xm:f>Справочно!$G$3:$G$54</xm:f>
          </x14:formula1>
          <xm:sqref>I16:I226</xm:sqref>
        </x14:dataValidation>
        <x14:dataValidation type="list" allowBlank="1" showInputMessage="1" showErrorMessage="1">
          <x14:formula1>
            <xm:f>Справочно!$E$3:$E$10</xm:f>
          </x14:formula1>
          <xm:sqref>E16:E226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02"/>
  <sheetViews>
    <sheetView zoomScaleNormal="100" workbookViewId="0">
      <selection activeCell="G12" sqref="G12"/>
    </sheetView>
  </sheetViews>
  <sheetFormatPr defaultRowHeight="12.75" x14ac:dyDescent="0.2"/>
  <cols>
    <col min="1" max="1" width="3.28515625" style="59" customWidth="1"/>
    <col min="2" max="2" width="54.140625" style="59" customWidth="1"/>
    <col min="3" max="3" width="21.85546875" style="59" customWidth="1"/>
    <col min="4" max="4" width="22.7109375" style="59" customWidth="1"/>
    <col min="5" max="5" width="20" style="59" customWidth="1"/>
    <col min="6" max="6" width="20.28515625" style="59" customWidth="1"/>
    <col min="7" max="7" width="18.7109375" style="59" customWidth="1"/>
    <col min="8" max="9" width="20.85546875" style="59" customWidth="1"/>
    <col min="10" max="10" width="13" style="59" customWidth="1"/>
    <col min="11" max="11" width="6" style="59" customWidth="1"/>
    <col min="12" max="12" width="17.140625" style="59" customWidth="1"/>
    <col min="13" max="13" width="16" style="59" customWidth="1"/>
    <col min="14" max="14" width="23" style="59" customWidth="1"/>
    <col min="15" max="15" width="18.140625" style="59" customWidth="1"/>
    <col min="16" max="16" width="18.5703125" style="59" customWidth="1"/>
    <col min="17" max="17" width="16" style="59" customWidth="1"/>
    <col min="18" max="18" width="18.85546875" style="59" customWidth="1"/>
    <col min="19" max="19" width="19.28515625" style="59" customWidth="1"/>
    <col min="20" max="20" width="20.140625" style="59" customWidth="1"/>
    <col min="21" max="21" width="16" style="59" customWidth="1"/>
    <col min="22" max="22" width="19.42578125" style="59" customWidth="1"/>
    <col min="23" max="23" width="18.7109375" style="59" customWidth="1"/>
    <col min="24" max="24" width="18.140625" style="59" customWidth="1"/>
    <col min="25" max="25" width="16" style="59" customWidth="1"/>
    <col min="26" max="26" width="21.5703125" style="59" customWidth="1"/>
    <col min="27" max="27" width="18.28515625" style="59" customWidth="1"/>
    <col min="28" max="29" width="16" style="59" customWidth="1"/>
    <col min="30" max="30" width="26.7109375" style="59" customWidth="1"/>
    <col min="31" max="33" width="16" style="59" customWidth="1"/>
    <col min="34" max="34" width="17.5703125" style="59" customWidth="1"/>
    <col min="35" max="37" width="16" style="59" customWidth="1"/>
    <col min="38" max="38" width="18.5703125" style="59" customWidth="1"/>
    <col min="39" max="41" width="16" style="59" customWidth="1"/>
    <col min="42" max="42" width="21.7109375" style="59" customWidth="1"/>
    <col min="43" max="43" width="16" style="59" customWidth="1"/>
    <col min="44" max="44" width="16" style="59" customWidth="1" collapsed="1"/>
    <col min="45" max="57" width="16" style="59" customWidth="1"/>
    <col min="58" max="58" width="18.85546875" style="59" customWidth="1"/>
    <col min="59" max="59" width="16" style="59" customWidth="1"/>
    <col min="60" max="60" width="16" style="59" customWidth="1" collapsed="1"/>
    <col min="61" max="75" width="16" style="59" customWidth="1"/>
    <col min="76" max="16384" width="9.140625" style="59"/>
  </cols>
  <sheetData>
    <row r="1" spans="1:31" ht="2.25" customHeight="1" x14ac:dyDescent="0.2"/>
    <row r="2" spans="1:31" ht="25.5" customHeight="1" x14ac:dyDescent="0.2">
      <c r="B2" s="700" t="s">
        <v>277</v>
      </c>
      <c r="C2" s="700"/>
      <c r="D2" s="700"/>
      <c r="E2" s="700"/>
      <c r="F2" s="700"/>
      <c r="G2" s="700"/>
      <c r="H2" s="700"/>
      <c r="I2" s="700"/>
      <c r="J2" s="700"/>
    </row>
    <row r="3" spans="1:31" ht="13.5" customHeight="1" thickBot="1" x14ac:dyDescent="0.25">
      <c r="A3" s="14"/>
      <c r="B3" s="14"/>
      <c r="C3" s="242"/>
      <c r="D3" s="244"/>
      <c r="E3" s="175" t="s">
        <v>348</v>
      </c>
      <c r="F3" s="244">
        <f>ПП!$G$3</f>
        <v>0</v>
      </c>
      <c r="G3" s="14" t="s">
        <v>349</v>
      </c>
      <c r="H3" s="14"/>
      <c r="I3" s="14"/>
      <c r="J3" s="14"/>
    </row>
    <row r="4" spans="1:31" ht="18" customHeight="1" thickBot="1" x14ac:dyDescent="0.25">
      <c r="A4" s="111"/>
      <c r="B4" s="111"/>
      <c r="C4" s="111"/>
      <c r="D4" s="111"/>
      <c r="E4" s="111"/>
      <c r="F4" s="111"/>
      <c r="G4" s="111"/>
      <c r="H4" s="111"/>
      <c r="I4" s="111"/>
      <c r="J4" s="111"/>
    </row>
    <row r="5" spans="1:31" x14ac:dyDescent="0.2">
      <c r="B5" s="153" t="s">
        <v>1</v>
      </c>
      <c r="C5" s="806" t="str">
        <f>РПЗ!$B4</f>
        <v>Акционерное общество «Научно-производственное объединение «Импульс»</v>
      </c>
      <c r="D5" s="807"/>
      <c r="E5" s="158"/>
      <c r="F5" s="158"/>
      <c r="G5" s="158"/>
      <c r="H5" s="158"/>
      <c r="I5" s="158"/>
      <c r="J5" s="158"/>
    </row>
    <row r="6" spans="1:31" x14ac:dyDescent="0.2">
      <c r="B6" s="154" t="s">
        <v>2</v>
      </c>
      <c r="C6" s="808" t="str">
        <f>РПЗ!$B5</f>
        <v>Российская Федерация, 195220, Санкт-Петербург, ул. Обручевых, д.1</v>
      </c>
      <c r="D6" s="809"/>
      <c r="E6" s="158"/>
      <c r="F6" s="158"/>
      <c r="G6" s="158"/>
      <c r="H6" s="158"/>
      <c r="I6" s="158"/>
      <c r="J6" s="158"/>
    </row>
    <row r="7" spans="1:31" x14ac:dyDescent="0.2">
      <c r="B7" s="154" t="s">
        <v>3</v>
      </c>
      <c r="C7" s="810" t="str">
        <f>РПЗ!$B6</f>
        <v>(812)2904855</v>
      </c>
      <c r="D7" s="809"/>
      <c r="E7" s="158"/>
      <c r="F7" s="158"/>
      <c r="G7" s="158"/>
      <c r="H7" s="158"/>
      <c r="I7" s="158"/>
      <c r="J7" s="158"/>
    </row>
    <row r="8" spans="1:31" x14ac:dyDescent="0.2">
      <c r="B8" s="154" t="s">
        <v>4</v>
      </c>
      <c r="C8" s="808" t="str">
        <f>РПЗ!$B7</f>
        <v>kanz@npoimpuls.ru</v>
      </c>
      <c r="D8" s="809"/>
      <c r="E8" s="158"/>
      <c r="F8" s="158"/>
      <c r="G8" s="158"/>
      <c r="H8" s="158"/>
      <c r="I8" s="158"/>
      <c r="J8" s="158"/>
    </row>
    <row r="9" spans="1:31" x14ac:dyDescent="0.2">
      <c r="B9" s="154" t="s">
        <v>5</v>
      </c>
      <c r="C9" s="808">
        <f>РПЗ!$B8</f>
        <v>7804478424</v>
      </c>
      <c r="D9" s="809"/>
      <c r="E9" s="158"/>
      <c r="F9" s="158"/>
      <c r="G9" s="158"/>
      <c r="H9" s="158"/>
      <c r="I9" s="158"/>
      <c r="J9" s="158"/>
    </row>
    <row r="10" spans="1:31" x14ac:dyDescent="0.2">
      <c r="B10" s="154" t="s">
        <v>6</v>
      </c>
      <c r="C10" s="808">
        <f>РПЗ!$B9</f>
        <v>780401001</v>
      </c>
      <c r="D10" s="809"/>
    </row>
    <row r="11" spans="1:31" ht="13.5" thickBot="1" x14ac:dyDescent="0.25">
      <c r="B11" s="155" t="s">
        <v>7</v>
      </c>
      <c r="C11" s="811">
        <f>РПЗ!$B10</f>
        <v>40273562000</v>
      </c>
      <c r="D11" s="812"/>
    </row>
    <row r="12" spans="1:31" ht="31.5" customHeight="1" thickBot="1" x14ac:dyDescent="0.25">
      <c r="B12" s="156" t="s">
        <v>351</v>
      </c>
      <c r="C12" s="785"/>
      <c r="D12" s="786"/>
    </row>
    <row r="13" spans="1:31" ht="6" hidden="1" customHeight="1" x14ac:dyDescent="0.2">
      <c r="B13" s="20"/>
      <c r="C13" s="168"/>
      <c r="D13" s="168"/>
    </row>
    <row r="14" spans="1:31" ht="15.75" customHeight="1" thickBot="1" x14ac:dyDescent="0.25">
      <c r="B14" s="20"/>
      <c r="K14" s="835" t="s">
        <v>350</v>
      </c>
      <c r="L14" s="835"/>
      <c r="M14" s="835"/>
      <c r="N14" s="835"/>
      <c r="O14" s="835"/>
      <c r="P14" s="835"/>
      <c r="Q14" s="835"/>
      <c r="R14" s="835"/>
      <c r="S14" s="835"/>
      <c r="T14" s="835"/>
      <c r="U14" s="835"/>
      <c r="V14" s="835"/>
      <c r="W14" s="835"/>
      <c r="X14" s="835"/>
      <c r="Y14" s="835"/>
      <c r="Z14" s="835"/>
      <c r="AA14" s="835"/>
    </row>
    <row r="15" spans="1:31" ht="51.75" thickBot="1" x14ac:dyDescent="0.25">
      <c r="B15" s="804" t="s">
        <v>1247</v>
      </c>
      <c r="C15" s="804" t="s">
        <v>1248</v>
      </c>
      <c r="D15" s="804" t="s">
        <v>1246</v>
      </c>
      <c r="E15" s="791" t="s">
        <v>1308</v>
      </c>
      <c r="F15" s="65" t="s">
        <v>1317</v>
      </c>
      <c r="G15" s="65" t="s">
        <v>1317</v>
      </c>
      <c r="H15" s="789" t="s">
        <v>222</v>
      </c>
      <c r="I15" s="790"/>
      <c r="K15" s="827" t="s">
        <v>302</v>
      </c>
      <c r="L15" s="826" t="s">
        <v>309</v>
      </c>
      <c r="M15" s="826"/>
      <c r="N15" s="826"/>
      <c r="O15" s="826"/>
      <c r="P15" s="826" t="s">
        <v>310</v>
      </c>
      <c r="Q15" s="826"/>
      <c r="R15" s="826"/>
      <c r="S15" s="826"/>
      <c r="T15" s="826" t="s">
        <v>311</v>
      </c>
      <c r="U15" s="826"/>
      <c r="V15" s="826"/>
      <c r="W15" s="826"/>
      <c r="X15" s="826" t="s">
        <v>312</v>
      </c>
      <c r="Y15" s="826"/>
      <c r="Z15" s="826"/>
      <c r="AA15" s="836"/>
      <c r="AB15" s="245"/>
      <c r="AC15" s="839">
        <f>ПП!$G$3</f>
        <v>0</v>
      </c>
      <c r="AD15" s="839"/>
      <c r="AE15" s="246"/>
    </row>
    <row r="16" spans="1:31" ht="15" customHeight="1" thickBot="1" x14ac:dyDescent="0.25">
      <c r="B16" s="805"/>
      <c r="C16" s="805"/>
      <c r="D16" s="805"/>
      <c r="E16" s="792"/>
      <c r="F16" s="316" t="s">
        <v>40</v>
      </c>
      <c r="G16" s="316" t="s">
        <v>250</v>
      </c>
      <c r="H16" s="95" t="s">
        <v>225</v>
      </c>
      <c r="I16" s="75" t="s">
        <v>118</v>
      </c>
      <c r="K16" s="828"/>
      <c r="L16" s="837" t="s">
        <v>320</v>
      </c>
      <c r="M16" s="837"/>
      <c r="N16" s="837" t="s">
        <v>321</v>
      </c>
      <c r="O16" s="837"/>
      <c r="P16" s="837" t="s">
        <v>320</v>
      </c>
      <c r="Q16" s="837"/>
      <c r="R16" s="837" t="s">
        <v>321</v>
      </c>
      <c r="S16" s="837"/>
      <c r="T16" s="837" t="s">
        <v>320</v>
      </c>
      <c r="U16" s="837"/>
      <c r="V16" s="837" t="s">
        <v>321</v>
      </c>
      <c r="W16" s="837"/>
      <c r="X16" s="837" t="s">
        <v>320</v>
      </c>
      <c r="Y16" s="837"/>
      <c r="Z16" s="837" t="s">
        <v>321</v>
      </c>
      <c r="AA16" s="838"/>
      <c r="AB16" s="833" t="s">
        <v>320</v>
      </c>
      <c r="AC16" s="833"/>
      <c r="AD16" s="833" t="s">
        <v>321</v>
      </c>
      <c r="AE16" s="833"/>
    </row>
    <row r="17" spans="2:75" ht="12.75" customHeight="1" thickBot="1" x14ac:dyDescent="0.25">
      <c r="B17" s="322">
        <f>COUNTIF('Отчет РПЗ(ПЗ)_ПЗИП'!A16:A1000052,"*-*")</f>
        <v>205</v>
      </c>
      <c r="C17" s="322">
        <f>COUNTA('Отчет РПЗ(ПЗ)_ПЗИП'!G16:G1000052)</f>
        <v>0</v>
      </c>
      <c r="D17" s="311">
        <f>COUNTIF('Отчет РПЗ(ПЗ)_ПЗИП'!AG:AG, "&gt;0")</f>
        <v>0</v>
      </c>
      <c r="E17" s="390" t="e">
        <f>$C$17/(IF($D$3=1,$X$52,0)+IF($D$3=2,$X$52+$AN$52,0)+IF($D$3=3,$X$52+$AN$52+$BD$52,0)+IF($D$3=4,$X$52+$AN$52+$BD$52+$BT$52,0))</f>
        <v>#DIV/0!</v>
      </c>
      <c r="F17" s="391">
        <f>SUMIF('Отчет РПЗ(ПЗ)_ПЗИП'!AG:AG,"&gt;0",'Отчет РПЗ(ПЗ)_ПЗИП'!W:W)</f>
        <v>0</v>
      </c>
      <c r="G17" s="391">
        <f>SUM('Отчет РПЗ(ПЗ)_ПЗИП'!$AG:$AG)</f>
        <v>0</v>
      </c>
      <c r="H17" s="392">
        <f>F17-G17</f>
        <v>0</v>
      </c>
      <c r="I17" s="393" t="e">
        <f>H17/F17</f>
        <v>#DIV/0!</v>
      </c>
      <c r="K17" s="828"/>
      <c r="L17" s="815" t="s">
        <v>306</v>
      </c>
      <c r="M17" s="815" t="s">
        <v>307</v>
      </c>
      <c r="N17" s="815" t="s">
        <v>306</v>
      </c>
      <c r="O17" s="815" t="s">
        <v>307</v>
      </c>
      <c r="P17" s="815" t="s">
        <v>306</v>
      </c>
      <c r="Q17" s="815" t="s">
        <v>307</v>
      </c>
      <c r="R17" s="815" t="s">
        <v>306</v>
      </c>
      <c r="S17" s="815" t="s">
        <v>307</v>
      </c>
      <c r="T17" s="815" t="s">
        <v>306</v>
      </c>
      <c r="U17" s="815" t="s">
        <v>307</v>
      </c>
      <c r="V17" s="815" t="s">
        <v>306</v>
      </c>
      <c r="W17" s="815" t="s">
        <v>307</v>
      </c>
      <c r="X17" s="815" t="s">
        <v>306</v>
      </c>
      <c r="Y17" s="815" t="s">
        <v>307</v>
      </c>
      <c r="Z17" s="815" t="s">
        <v>306</v>
      </c>
      <c r="AA17" s="813" t="s">
        <v>307</v>
      </c>
      <c r="AB17" s="834" t="s">
        <v>306</v>
      </c>
      <c r="AC17" s="834" t="s">
        <v>307</v>
      </c>
      <c r="AD17" s="834" t="s">
        <v>306</v>
      </c>
      <c r="AE17" s="834" t="s">
        <v>307</v>
      </c>
    </row>
    <row r="18" spans="2:75" ht="31.5" customHeight="1" thickBot="1" x14ac:dyDescent="0.25">
      <c r="B18" s="20"/>
      <c r="C18" s="64"/>
      <c r="D18" s="64"/>
      <c r="E18" s="64"/>
      <c r="F18" s="64"/>
      <c r="G18" s="64"/>
      <c r="H18" s="64"/>
      <c r="K18" s="828"/>
      <c r="L18" s="815"/>
      <c r="M18" s="815"/>
      <c r="N18" s="815"/>
      <c r="O18" s="815"/>
      <c r="P18" s="815"/>
      <c r="Q18" s="815"/>
      <c r="R18" s="815"/>
      <c r="S18" s="815"/>
      <c r="T18" s="815"/>
      <c r="U18" s="815"/>
      <c r="V18" s="815"/>
      <c r="W18" s="815"/>
      <c r="X18" s="815"/>
      <c r="Y18" s="815"/>
      <c r="Z18" s="815"/>
      <c r="AA18" s="813"/>
      <c r="AB18" s="834"/>
      <c r="AC18" s="834"/>
      <c r="AD18" s="834"/>
      <c r="AE18" s="834"/>
    </row>
    <row r="19" spans="2:75" ht="22.5" customHeight="1" thickBot="1" x14ac:dyDescent="0.25">
      <c r="B19" s="20"/>
      <c r="C19" s="794" t="s">
        <v>1309</v>
      </c>
      <c r="D19" s="820"/>
      <c r="E19" s="820"/>
      <c r="F19" s="487">
        <f>(COUNTA('Отчет РПЗ(ПЗ)_ПЗИП'!G16:G991600)/$B$17)*100</f>
        <v>0</v>
      </c>
      <c r="G19" s="64"/>
      <c r="H19" s="64"/>
      <c r="K19" s="829"/>
      <c r="L19" s="816"/>
      <c r="M19" s="816"/>
      <c r="N19" s="816"/>
      <c r="O19" s="816"/>
      <c r="P19" s="816"/>
      <c r="Q19" s="816"/>
      <c r="R19" s="816"/>
      <c r="S19" s="816"/>
      <c r="T19" s="816"/>
      <c r="U19" s="816"/>
      <c r="V19" s="816"/>
      <c r="W19" s="816"/>
      <c r="X19" s="816"/>
      <c r="Y19" s="816"/>
      <c r="Z19" s="816"/>
      <c r="AA19" s="814"/>
      <c r="AB19" s="834"/>
      <c r="AC19" s="834"/>
      <c r="AD19" s="834"/>
      <c r="AE19" s="834"/>
    </row>
    <row r="20" spans="2:75" ht="13.5" thickBot="1" x14ac:dyDescent="0.25">
      <c r="B20" s="20"/>
      <c r="K20" s="200" t="s">
        <v>303</v>
      </c>
      <c r="L20" s="290"/>
      <c r="M20" s="290"/>
      <c r="N20" s="290"/>
      <c r="O20" s="290"/>
      <c r="P20" s="290"/>
      <c r="Q20" s="290"/>
      <c r="R20" s="290"/>
      <c r="S20" s="290"/>
      <c r="T20" s="290"/>
      <c r="U20" s="290"/>
      <c r="V20" s="290"/>
      <c r="W20" s="290"/>
      <c r="X20" s="290"/>
      <c r="Y20" s="290"/>
      <c r="Z20" s="290"/>
      <c r="AA20" s="291"/>
      <c r="AB20" s="207">
        <f>SUM(L20,P20,T20,X20)</f>
        <v>0</v>
      </c>
      <c r="AC20" s="207">
        <f t="shared" ref="AC20:AE22" si="0">SUM(M20,Q20,U20,Y20)</f>
        <v>0</v>
      </c>
      <c r="AD20" s="207">
        <f t="shared" si="0"/>
        <v>0</v>
      </c>
      <c r="AE20" s="207">
        <f t="shared" si="0"/>
        <v>0</v>
      </c>
    </row>
    <row r="21" spans="2:75" ht="13.5" thickBot="1" x14ac:dyDescent="0.25">
      <c r="B21" s="20"/>
      <c r="K21" s="164" t="s">
        <v>304</v>
      </c>
      <c r="L21" s="292"/>
      <c r="M21" s="292"/>
      <c r="N21" s="292"/>
      <c r="O21" s="292"/>
      <c r="P21" s="292"/>
      <c r="Q21" s="292"/>
      <c r="R21" s="292"/>
      <c r="S21" s="292"/>
      <c r="T21" s="292"/>
      <c r="U21" s="292"/>
      <c r="V21" s="292"/>
      <c r="W21" s="292"/>
      <c r="X21" s="292"/>
      <c r="Y21" s="292"/>
      <c r="Z21" s="292"/>
      <c r="AA21" s="293"/>
      <c r="AB21" s="207">
        <f t="shared" ref="AB21:AB22" si="1">SUM(L21,P21,T21,X21)</f>
        <v>0</v>
      </c>
      <c r="AC21" s="207">
        <f t="shared" si="0"/>
        <v>0</v>
      </c>
      <c r="AD21" s="207">
        <f t="shared" si="0"/>
        <v>0</v>
      </c>
      <c r="AE21" s="207">
        <f t="shared" si="0"/>
        <v>0</v>
      </c>
    </row>
    <row r="22" spans="2:75" ht="15.75" customHeight="1" thickBot="1" x14ac:dyDescent="0.25">
      <c r="B22" s="20"/>
      <c r="K22" s="165" t="s">
        <v>305</v>
      </c>
      <c r="L22" s="294"/>
      <c r="M22" s="294"/>
      <c r="N22" s="294"/>
      <c r="O22" s="294"/>
      <c r="P22" s="294"/>
      <c r="Q22" s="294"/>
      <c r="R22" s="294"/>
      <c r="S22" s="294"/>
      <c r="T22" s="294"/>
      <c r="U22" s="294"/>
      <c r="V22" s="294"/>
      <c r="W22" s="294"/>
      <c r="X22" s="294"/>
      <c r="Y22" s="294"/>
      <c r="Z22" s="294"/>
      <c r="AA22" s="295"/>
      <c r="AB22" s="207">
        <f t="shared" si="1"/>
        <v>0</v>
      </c>
      <c r="AC22" s="207">
        <f t="shared" si="0"/>
        <v>0</v>
      </c>
      <c r="AD22" s="207">
        <f t="shared" si="0"/>
        <v>0</v>
      </c>
      <c r="AE22" s="207">
        <f t="shared" si="0"/>
        <v>0</v>
      </c>
    </row>
    <row r="23" spans="2:75" ht="13.5" thickBot="1" x14ac:dyDescent="0.25">
      <c r="B23" s="20"/>
      <c r="C23" s="197"/>
      <c r="D23" s="197"/>
      <c r="E23" s="198"/>
      <c r="F23" s="198"/>
      <c r="G23" s="198"/>
      <c r="H23" s="198"/>
      <c r="L23" s="195"/>
      <c r="M23" s="195"/>
      <c r="N23" s="195"/>
      <c r="O23" s="195"/>
      <c r="P23" s="195"/>
      <c r="Q23" s="195"/>
      <c r="R23" s="195"/>
      <c r="S23" s="195"/>
      <c r="T23" s="195"/>
      <c r="U23" s="195"/>
      <c r="V23" s="195"/>
      <c r="W23" s="195"/>
      <c r="X23" s="195"/>
      <c r="Y23" s="195"/>
      <c r="Z23" s="195"/>
      <c r="AA23" s="160"/>
    </row>
    <row r="24" spans="2:75" ht="15.75" customHeight="1" thickBot="1" x14ac:dyDescent="0.25">
      <c r="B24" s="797" t="s">
        <v>9</v>
      </c>
      <c r="C24" s="798" t="s">
        <v>319</v>
      </c>
      <c r="D24" s="798" t="s">
        <v>244</v>
      </c>
      <c r="E24" s="798" t="s">
        <v>319</v>
      </c>
      <c r="F24" s="798" t="s">
        <v>244</v>
      </c>
      <c r="G24" s="798" t="s">
        <v>318</v>
      </c>
      <c r="H24" s="798" t="s">
        <v>246</v>
      </c>
      <c r="I24" s="798" t="s">
        <v>26</v>
      </c>
      <c r="J24" s="799" t="s">
        <v>1245</v>
      </c>
      <c r="K24" s="64"/>
      <c r="L24" s="830" t="s">
        <v>309</v>
      </c>
      <c r="M24" s="831"/>
      <c r="N24" s="831"/>
      <c r="O24" s="831"/>
      <c r="P24" s="831"/>
      <c r="Q24" s="831"/>
      <c r="R24" s="831"/>
      <c r="S24" s="831"/>
      <c r="T24" s="831"/>
      <c r="U24" s="831"/>
      <c r="V24" s="831"/>
      <c r="W24" s="831"/>
      <c r="X24" s="831"/>
      <c r="Y24" s="831"/>
      <c r="Z24" s="831"/>
      <c r="AA24" s="832"/>
      <c r="AB24" s="840" t="s">
        <v>310</v>
      </c>
      <c r="AC24" s="841"/>
      <c r="AD24" s="841"/>
      <c r="AE24" s="841"/>
      <c r="AF24" s="841"/>
      <c r="AG24" s="841"/>
      <c r="AH24" s="841"/>
      <c r="AI24" s="841"/>
      <c r="AJ24" s="841"/>
      <c r="AK24" s="841"/>
      <c r="AL24" s="841"/>
      <c r="AM24" s="841"/>
      <c r="AN24" s="841"/>
      <c r="AO24" s="841"/>
      <c r="AP24" s="841"/>
      <c r="AQ24" s="842"/>
      <c r="AR24" s="849" t="s">
        <v>311</v>
      </c>
      <c r="AS24" s="850"/>
      <c r="AT24" s="850"/>
      <c r="AU24" s="850"/>
      <c r="AV24" s="850"/>
      <c r="AW24" s="850"/>
      <c r="AX24" s="850"/>
      <c r="AY24" s="850"/>
      <c r="AZ24" s="850"/>
      <c r="BA24" s="850"/>
      <c r="BB24" s="850"/>
      <c r="BC24" s="850"/>
      <c r="BD24" s="850"/>
      <c r="BE24" s="850"/>
      <c r="BF24" s="850"/>
      <c r="BG24" s="851"/>
      <c r="BH24" s="846" t="s">
        <v>312</v>
      </c>
      <c r="BI24" s="847"/>
      <c r="BJ24" s="847"/>
      <c r="BK24" s="847"/>
      <c r="BL24" s="847"/>
      <c r="BM24" s="847"/>
      <c r="BN24" s="847"/>
      <c r="BO24" s="847"/>
      <c r="BP24" s="847"/>
      <c r="BQ24" s="847"/>
      <c r="BR24" s="847"/>
      <c r="BS24" s="847"/>
      <c r="BT24" s="847"/>
      <c r="BU24" s="847"/>
      <c r="BV24" s="847"/>
      <c r="BW24" s="848"/>
    </row>
    <row r="25" spans="2:75" ht="15" customHeight="1" thickBot="1" x14ac:dyDescent="0.25">
      <c r="B25" s="824"/>
      <c r="C25" s="822"/>
      <c r="D25" s="822"/>
      <c r="E25" s="822"/>
      <c r="F25" s="822"/>
      <c r="G25" s="822"/>
      <c r="H25" s="822"/>
      <c r="I25" s="822"/>
      <c r="J25" s="823"/>
      <c r="K25" s="64"/>
      <c r="L25" s="747" t="str">
        <f>ПП!G14</f>
        <v xml:space="preserve">Январь </v>
      </c>
      <c r="M25" s="748"/>
      <c r="N25" s="748"/>
      <c r="O25" s="748"/>
      <c r="P25" s="748" t="str">
        <f>ПП!I14</f>
        <v xml:space="preserve">Февраль </v>
      </c>
      <c r="Q25" s="748"/>
      <c r="R25" s="748"/>
      <c r="S25" s="748"/>
      <c r="T25" s="748" t="str">
        <f>ПП!K14</f>
        <v xml:space="preserve">Март </v>
      </c>
      <c r="U25" s="748"/>
      <c r="V25" s="748"/>
      <c r="W25" s="749"/>
      <c r="X25" s="750" t="s">
        <v>313</v>
      </c>
      <c r="Y25" s="750"/>
      <c r="Z25" s="750"/>
      <c r="AA25" s="750"/>
      <c r="AB25" s="747" t="str">
        <f>ПП!O14</f>
        <v xml:space="preserve">Апрель </v>
      </c>
      <c r="AC25" s="748"/>
      <c r="AD25" s="748"/>
      <c r="AE25" s="748"/>
      <c r="AF25" s="748" t="str">
        <f>ПП!Q14</f>
        <v xml:space="preserve">Май </v>
      </c>
      <c r="AG25" s="748"/>
      <c r="AH25" s="748"/>
      <c r="AI25" s="748"/>
      <c r="AJ25" s="748" t="str">
        <f>ПП!S14</f>
        <v xml:space="preserve">Июнь </v>
      </c>
      <c r="AK25" s="748"/>
      <c r="AL25" s="748"/>
      <c r="AM25" s="749"/>
      <c r="AN25" s="750" t="s">
        <v>314</v>
      </c>
      <c r="AO25" s="750"/>
      <c r="AP25" s="750"/>
      <c r="AQ25" s="750"/>
      <c r="AR25" s="747" t="str">
        <f>ПП!W14</f>
        <v xml:space="preserve">Июль </v>
      </c>
      <c r="AS25" s="748"/>
      <c r="AT25" s="748"/>
      <c r="AU25" s="748"/>
      <c r="AV25" s="748" t="str">
        <f>ПП!Y14</f>
        <v xml:space="preserve">Август </v>
      </c>
      <c r="AW25" s="748"/>
      <c r="AX25" s="748"/>
      <c r="AY25" s="748"/>
      <c r="AZ25" s="748" t="str">
        <f>ПП!AA14</f>
        <v xml:space="preserve">Сентябрь </v>
      </c>
      <c r="BA25" s="748"/>
      <c r="BB25" s="748"/>
      <c r="BC25" s="749"/>
      <c r="BD25" s="750" t="s">
        <v>322</v>
      </c>
      <c r="BE25" s="750"/>
      <c r="BF25" s="750"/>
      <c r="BG25" s="750"/>
      <c r="BH25" s="747" t="str">
        <f>ПП!AE14</f>
        <v xml:space="preserve">Октябрь </v>
      </c>
      <c r="BI25" s="748"/>
      <c r="BJ25" s="748"/>
      <c r="BK25" s="748"/>
      <c r="BL25" s="748" t="str">
        <f>ПП!AG14</f>
        <v xml:space="preserve">Ноябрь </v>
      </c>
      <c r="BM25" s="748"/>
      <c r="BN25" s="748"/>
      <c r="BO25" s="748"/>
      <c r="BP25" s="748" t="str">
        <f>ПП!AI14</f>
        <v xml:space="preserve">Декабрь </v>
      </c>
      <c r="BQ25" s="748"/>
      <c r="BR25" s="748"/>
      <c r="BS25" s="749"/>
      <c r="BT25" s="750" t="s">
        <v>316</v>
      </c>
      <c r="BU25" s="750"/>
      <c r="BV25" s="750"/>
      <c r="BW25" s="750"/>
    </row>
    <row r="26" spans="2:75" ht="12.75" customHeight="1" thickBot="1" x14ac:dyDescent="0.25">
      <c r="B26" s="824"/>
      <c r="C26" s="822"/>
      <c r="D26" s="822"/>
      <c r="E26" s="822"/>
      <c r="F26" s="822"/>
      <c r="G26" s="822"/>
      <c r="H26" s="822"/>
      <c r="I26" s="822"/>
      <c r="J26" s="823"/>
      <c r="K26" s="64"/>
      <c r="L26" s="824" t="s">
        <v>319</v>
      </c>
      <c r="M26" s="822"/>
      <c r="N26" s="822" t="s">
        <v>318</v>
      </c>
      <c r="O26" s="822"/>
      <c r="P26" s="822" t="s">
        <v>319</v>
      </c>
      <c r="Q26" s="822"/>
      <c r="R26" s="822" t="s">
        <v>318</v>
      </c>
      <c r="S26" s="822"/>
      <c r="T26" s="822" t="s">
        <v>319</v>
      </c>
      <c r="U26" s="822"/>
      <c r="V26" s="822" t="s">
        <v>318</v>
      </c>
      <c r="W26" s="823"/>
      <c r="X26" s="800" t="s">
        <v>319</v>
      </c>
      <c r="Y26" s="800"/>
      <c r="Z26" s="800" t="s">
        <v>318</v>
      </c>
      <c r="AA26" s="800"/>
      <c r="AB26" s="824" t="s">
        <v>319</v>
      </c>
      <c r="AC26" s="822"/>
      <c r="AD26" s="822" t="s">
        <v>318</v>
      </c>
      <c r="AE26" s="822"/>
      <c r="AF26" s="822" t="s">
        <v>319</v>
      </c>
      <c r="AG26" s="822"/>
      <c r="AH26" s="822" t="s">
        <v>318</v>
      </c>
      <c r="AI26" s="822"/>
      <c r="AJ26" s="822" t="s">
        <v>319</v>
      </c>
      <c r="AK26" s="822"/>
      <c r="AL26" s="822" t="s">
        <v>318</v>
      </c>
      <c r="AM26" s="823"/>
      <c r="AN26" s="800" t="s">
        <v>319</v>
      </c>
      <c r="AO26" s="800"/>
      <c r="AP26" s="800" t="s">
        <v>318</v>
      </c>
      <c r="AQ26" s="800"/>
      <c r="AR26" s="824" t="s">
        <v>319</v>
      </c>
      <c r="AS26" s="822"/>
      <c r="AT26" s="822" t="s">
        <v>318</v>
      </c>
      <c r="AU26" s="822"/>
      <c r="AV26" s="822" t="s">
        <v>319</v>
      </c>
      <c r="AW26" s="822"/>
      <c r="AX26" s="822" t="s">
        <v>318</v>
      </c>
      <c r="AY26" s="822"/>
      <c r="AZ26" s="822" t="s">
        <v>319</v>
      </c>
      <c r="BA26" s="822"/>
      <c r="BB26" s="822" t="s">
        <v>318</v>
      </c>
      <c r="BC26" s="823"/>
      <c r="BD26" s="800" t="s">
        <v>319</v>
      </c>
      <c r="BE26" s="800"/>
      <c r="BF26" s="800" t="s">
        <v>318</v>
      </c>
      <c r="BG26" s="800"/>
      <c r="BH26" s="824" t="s">
        <v>319</v>
      </c>
      <c r="BI26" s="822"/>
      <c r="BJ26" s="822" t="s">
        <v>318</v>
      </c>
      <c r="BK26" s="822"/>
      <c r="BL26" s="822" t="s">
        <v>319</v>
      </c>
      <c r="BM26" s="822"/>
      <c r="BN26" s="822" t="s">
        <v>318</v>
      </c>
      <c r="BO26" s="822"/>
      <c r="BP26" s="822" t="s">
        <v>319</v>
      </c>
      <c r="BQ26" s="822"/>
      <c r="BR26" s="822" t="s">
        <v>318</v>
      </c>
      <c r="BS26" s="823"/>
      <c r="BT26" s="800" t="s">
        <v>319</v>
      </c>
      <c r="BU26" s="800"/>
      <c r="BV26" s="800" t="s">
        <v>318</v>
      </c>
      <c r="BW26" s="800"/>
    </row>
    <row r="27" spans="2:75" ht="15.75" customHeight="1" thickBot="1" x14ac:dyDescent="0.25">
      <c r="B27" s="825"/>
      <c r="C27" s="793" t="s">
        <v>40</v>
      </c>
      <c r="D27" s="793"/>
      <c r="E27" s="793" t="s">
        <v>250</v>
      </c>
      <c r="F27" s="793"/>
      <c r="G27" s="793" t="s">
        <v>40</v>
      </c>
      <c r="H27" s="793"/>
      <c r="I27" s="793" t="s">
        <v>250</v>
      </c>
      <c r="J27" s="821"/>
      <c r="K27" s="64"/>
      <c r="L27" s="171" t="s">
        <v>40</v>
      </c>
      <c r="M27" s="172" t="s">
        <v>250</v>
      </c>
      <c r="N27" s="172" t="s">
        <v>40</v>
      </c>
      <c r="O27" s="172" t="s">
        <v>250</v>
      </c>
      <c r="P27" s="172" t="s">
        <v>40</v>
      </c>
      <c r="Q27" s="172" t="s">
        <v>250</v>
      </c>
      <c r="R27" s="172" t="s">
        <v>40</v>
      </c>
      <c r="S27" s="172" t="s">
        <v>250</v>
      </c>
      <c r="T27" s="172" t="s">
        <v>40</v>
      </c>
      <c r="U27" s="172" t="s">
        <v>250</v>
      </c>
      <c r="V27" s="172" t="s">
        <v>40</v>
      </c>
      <c r="W27" s="173" t="s">
        <v>250</v>
      </c>
      <c r="X27" s="101" t="s">
        <v>40</v>
      </c>
      <c r="Y27" s="101" t="s">
        <v>250</v>
      </c>
      <c r="Z27" s="101" t="s">
        <v>40</v>
      </c>
      <c r="AA27" s="101" t="s">
        <v>250</v>
      </c>
      <c r="AB27" s="171" t="s">
        <v>40</v>
      </c>
      <c r="AC27" s="172" t="s">
        <v>250</v>
      </c>
      <c r="AD27" s="172" t="s">
        <v>40</v>
      </c>
      <c r="AE27" s="172" t="s">
        <v>250</v>
      </c>
      <c r="AF27" s="172" t="s">
        <v>40</v>
      </c>
      <c r="AG27" s="172" t="s">
        <v>250</v>
      </c>
      <c r="AH27" s="172" t="s">
        <v>40</v>
      </c>
      <c r="AI27" s="172" t="s">
        <v>250</v>
      </c>
      <c r="AJ27" s="172" t="s">
        <v>40</v>
      </c>
      <c r="AK27" s="172" t="s">
        <v>250</v>
      </c>
      <c r="AL27" s="172" t="s">
        <v>40</v>
      </c>
      <c r="AM27" s="173" t="s">
        <v>250</v>
      </c>
      <c r="AN27" s="101" t="s">
        <v>40</v>
      </c>
      <c r="AO27" s="101" t="s">
        <v>250</v>
      </c>
      <c r="AP27" s="101" t="s">
        <v>40</v>
      </c>
      <c r="AQ27" s="101" t="s">
        <v>250</v>
      </c>
      <c r="AR27" s="171" t="s">
        <v>40</v>
      </c>
      <c r="AS27" s="172" t="s">
        <v>250</v>
      </c>
      <c r="AT27" s="172" t="s">
        <v>40</v>
      </c>
      <c r="AU27" s="172" t="s">
        <v>250</v>
      </c>
      <c r="AV27" s="172" t="s">
        <v>40</v>
      </c>
      <c r="AW27" s="172" t="s">
        <v>250</v>
      </c>
      <c r="AX27" s="172" t="s">
        <v>40</v>
      </c>
      <c r="AY27" s="172" t="s">
        <v>250</v>
      </c>
      <c r="AZ27" s="172" t="s">
        <v>40</v>
      </c>
      <c r="BA27" s="172" t="s">
        <v>250</v>
      </c>
      <c r="BB27" s="172" t="s">
        <v>40</v>
      </c>
      <c r="BC27" s="173" t="s">
        <v>250</v>
      </c>
      <c r="BD27" s="101" t="s">
        <v>40</v>
      </c>
      <c r="BE27" s="101" t="s">
        <v>250</v>
      </c>
      <c r="BF27" s="101" t="s">
        <v>40</v>
      </c>
      <c r="BG27" s="101" t="s">
        <v>250</v>
      </c>
      <c r="BH27" s="171" t="s">
        <v>40</v>
      </c>
      <c r="BI27" s="172" t="s">
        <v>250</v>
      </c>
      <c r="BJ27" s="172" t="s">
        <v>40</v>
      </c>
      <c r="BK27" s="172" t="s">
        <v>250</v>
      </c>
      <c r="BL27" s="172" t="s">
        <v>40</v>
      </c>
      <c r="BM27" s="172" t="s">
        <v>250</v>
      </c>
      <c r="BN27" s="172" t="s">
        <v>40</v>
      </c>
      <c r="BO27" s="172" t="s">
        <v>250</v>
      </c>
      <c r="BP27" s="172" t="s">
        <v>40</v>
      </c>
      <c r="BQ27" s="172" t="s">
        <v>250</v>
      </c>
      <c r="BR27" s="172" t="s">
        <v>40</v>
      </c>
      <c r="BS27" s="173" t="s">
        <v>250</v>
      </c>
      <c r="BT27" s="101" t="s">
        <v>40</v>
      </c>
      <c r="BU27" s="101" t="s">
        <v>250</v>
      </c>
      <c r="BV27" s="101" t="s">
        <v>40</v>
      </c>
      <c r="BW27" s="101" t="s">
        <v>250</v>
      </c>
    </row>
    <row r="28" spans="2:75" ht="13.5" thickBot="1" x14ac:dyDescent="0.25">
      <c r="B28" s="85" t="s">
        <v>101</v>
      </c>
      <c r="C28" s="96">
        <f>ПП!B16</f>
        <v>1</v>
      </c>
      <c r="D28" s="491">
        <f>ПП!C16</f>
        <v>5.3763440860215058E-3</v>
      </c>
      <c r="E28" s="66">
        <f>COUNTIFS('Отчет РПЗ(ПЗ)_ПЗИП'!$G:$G,Справочно!$C12,'Отчет РПЗ(ПЗ)_ПЗИП'!AG:AG, "&gt;0")</f>
        <v>0</v>
      </c>
      <c r="F28" s="492" t="e">
        <f>E28/$E$52</f>
        <v>#DIV/0!</v>
      </c>
      <c r="G28" s="493">
        <f>ПП!D16</f>
        <v>2000000</v>
      </c>
      <c r="H28" s="494">
        <f>ПП!E16</f>
        <v>4.9212011355205774E-3</v>
      </c>
      <c r="I28" s="495">
        <f>SUMIF('Отчет РПЗ(ПЗ)_ПЗИП'!$G:$G,Справочно!$C12,'Отчет РПЗ(ПЗ)_ПЗИП'!$AG:$AG)</f>
        <v>0</v>
      </c>
      <c r="J28" s="492" t="e">
        <f>I28/$I$52</f>
        <v>#DIV/0!</v>
      </c>
      <c r="K28" s="64"/>
      <c r="L28" s="201">
        <f>ПП!G16</f>
        <v>0</v>
      </c>
      <c r="M28" s="184">
        <f>COUNTIFS('Отчет РПЗ(ПЗ)_ПЗИП'!$G:$G,Справочно!$C12,'Отчет РПЗ(ПЗ)_ПЗИП'!$AO:$AO,1,'Отчет РПЗ(ПЗ)_ПЗИП'!$AG:$AG,"&gt;0")</f>
        <v>0</v>
      </c>
      <c r="N28" s="502">
        <f>ПП!H16</f>
        <v>0</v>
      </c>
      <c r="O28" s="434">
        <f>SUMIFS('Отчет РПЗ(ПЗ)_ПЗИП'!$AG:$AG,'Отчет РПЗ(ПЗ)_ПЗИП'!$G:$G,Справочно!$C12,'Отчет РПЗ(ПЗ)_ПЗИП'!$AO:$AO,1,'Отчет РПЗ(ПЗ)_ПЗИП'!$AG:$AG,"&gt;0")</f>
        <v>0</v>
      </c>
      <c r="P28" s="203">
        <f>ПП!I16</f>
        <v>0</v>
      </c>
      <c r="Q28" s="202">
        <f>COUNTIFS('Отчет РПЗ(ПЗ)_ПЗИП'!$G:$G,Справочно!$C12,'Отчет РПЗ(ПЗ)_ПЗИП'!$AO:$AO,2,'Отчет РПЗ(ПЗ)_ПЗИП'!$AG:$AG,"&gt;0")</f>
        <v>0</v>
      </c>
      <c r="R28" s="502">
        <f>ПП!J16</f>
        <v>0</v>
      </c>
      <c r="S28" s="434">
        <f>SUMIFS('Отчет РПЗ(ПЗ)_ПЗИП'!$AG:$AG,'Отчет РПЗ(ПЗ)_ПЗИП'!$G:$G,Справочно!$C12,'Отчет РПЗ(ПЗ)_ПЗИП'!$AO:$AO,2,'Отчет РПЗ(ПЗ)_ПЗИП'!$AG:$AG,"&gt;0")</f>
        <v>0</v>
      </c>
      <c r="T28" s="203">
        <f>ПП!K16</f>
        <v>0</v>
      </c>
      <c r="U28" s="202">
        <f>COUNTIFS('Отчет РПЗ(ПЗ)_ПЗИП'!$G:$G,Справочно!$C12,'Отчет РПЗ(ПЗ)_ПЗИП'!$AO:$AO,3,'Отчет РПЗ(ПЗ)_ПЗИП'!$AG:$AG,"&gt;0")</f>
        <v>0</v>
      </c>
      <c r="V28" s="502">
        <f>ПП!L16</f>
        <v>0</v>
      </c>
      <c r="W28" s="435">
        <f>SUMIFS('Отчет РПЗ(ПЗ)_ПЗИП'!$AG:$AG,'Отчет РПЗ(ПЗ)_ПЗИП'!$G:$G,Справочно!$C12,'Отчет РПЗ(ПЗ)_ПЗИП'!$AO:$AO,3,'Отчет РПЗ(ПЗ)_ПЗИП'!$AG:$AG,"&gt;0")</f>
        <v>0</v>
      </c>
      <c r="X28" s="211">
        <f>ПП!M16</f>
        <v>0</v>
      </c>
      <c r="Y28" s="212">
        <f>SUM(M28,Q28,U28)</f>
        <v>0</v>
      </c>
      <c r="Z28" s="503">
        <f>SUM(N28,R28,V28)</f>
        <v>0</v>
      </c>
      <c r="AA28" s="396">
        <f>SUM(O28,S28,W28)</f>
        <v>0</v>
      </c>
      <c r="AB28" s="201">
        <f>ПП!O16</f>
        <v>0</v>
      </c>
      <c r="AC28" s="189">
        <f>COUNTIFS('Отчет РПЗ(ПЗ)_ПЗИП'!$G:$G,Справочно!$C12,'Отчет РПЗ(ПЗ)_ПЗИП'!$AO:$AO,4,'Отчет РПЗ(ПЗ)_ПЗИП'!$AG:$AG,"&gt;0")</f>
        <v>0</v>
      </c>
      <c r="AD28" s="502">
        <f>ПП!P16</f>
        <v>0</v>
      </c>
      <c r="AE28" s="436">
        <f>SUMIFS('Отчет РПЗ(ПЗ)_ПЗИП'!$AG:$AG,'Отчет РПЗ(ПЗ)_ПЗИП'!$G:$G,Справочно!$C12,'Отчет РПЗ(ПЗ)_ПЗИП'!$AO:$AO,4,'Отчет РПЗ(ПЗ)_ПЗИП'!$AG:$AG,"&gt;0")</f>
        <v>0</v>
      </c>
      <c r="AF28" s="203">
        <f>ПП!Q16</f>
        <v>0</v>
      </c>
      <c r="AG28" s="189">
        <f>COUNTIFS('Отчет РПЗ(ПЗ)_ПЗИП'!$G:$G,Справочно!$C12,'Отчет РПЗ(ПЗ)_ПЗИП'!$AO:$AO,5,'Отчет РПЗ(ПЗ)_ПЗИП'!$AG:$AG,"&gt;0")</f>
        <v>0</v>
      </c>
      <c r="AH28" s="502">
        <f>ПП!R16</f>
        <v>0</v>
      </c>
      <c r="AI28" s="436">
        <f>SUMIFS('Отчет РПЗ(ПЗ)_ПЗИП'!$AG:$AG,'Отчет РПЗ(ПЗ)_ПЗИП'!$G:$G,Справочно!$C12,'Отчет РПЗ(ПЗ)_ПЗИП'!$AO:$AO,5,'Отчет РПЗ(ПЗ)_ПЗИП'!$AG:$AG,"&gt;0")</f>
        <v>0</v>
      </c>
      <c r="AJ28" s="203">
        <f>ПП!S16</f>
        <v>0</v>
      </c>
      <c r="AK28" s="189">
        <f>COUNTIFS('Отчет РПЗ(ПЗ)_ПЗИП'!$G:$G,Справочно!$C12,'Отчет РПЗ(ПЗ)_ПЗИП'!$AO:$AO,6,'Отчет РПЗ(ПЗ)_ПЗИП'!$AG:$AG,"&gt;0")</f>
        <v>0</v>
      </c>
      <c r="AL28" s="502">
        <f>ПП!T16</f>
        <v>0</v>
      </c>
      <c r="AM28" s="437">
        <f>SUMIFS('Отчет РПЗ(ПЗ)_ПЗИП'!$AG:$AG,'Отчет РПЗ(ПЗ)_ПЗИП'!$G:$G,Справочно!$C12,'Отчет РПЗ(ПЗ)_ПЗИП'!$AO:$AO,6,'Отчет РПЗ(ПЗ)_ПЗИП'!$AG:$AG,"&gt;0")</f>
        <v>0</v>
      </c>
      <c r="AN28" s="211">
        <f>ПП!U16</f>
        <v>0</v>
      </c>
      <c r="AO28" s="225">
        <f>SUM(AC28,AG28,AK28)</f>
        <v>0</v>
      </c>
      <c r="AP28" s="503">
        <f>SUM(AD28,AH28,AL28)</f>
        <v>0</v>
      </c>
      <c r="AQ28" s="399">
        <f>SUM(AE28,AI28,AM28)</f>
        <v>0</v>
      </c>
      <c r="AR28" s="201">
        <f>ПП!W16</f>
        <v>0</v>
      </c>
      <c r="AS28" s="221">
        <f>COUNTIFS('Отчет РПЗ(ПЗ)_ПЗИП'!$G:$G,Справочно!$C12,'Отчет РПЗ(ПЗ)_ПЗИП'!$AO:$AO,7,'Отчет РПЗ(ПЗ)_ПЗИП'!$AG:$AG,"&gt;0")</f>
        <v>0</v>
      </c>
      <c r="AT28" s="502">
        <f>ПП!X16</f>
        <v>0</v>
      </c>
      <c r="AU28" s="438">
        <f>SUMIFS('Отчет РПЗ(ПЗ)_ПЗИП'!$AG:$AG,'Отчет РПЗ(ПЗ)_ПЗИП'!$G:$G,Справочно!$C12,'Отчет РПЗ(ПЗ)_ПЗИП'!$AO:$AO,7,'Отчет РПЗ(ПЗ)_ПЗИП'!$AG:$AG,"&gt;0")</f>
        <v>0</v>
      </c>
      <c r="AV28" s="203">
        <f>ПП!Y16</f>
        <v>0</v>
      </c>
      <c r="AW28" s="221">
        <f>COUNTIFS('Отчет РПЗ(ПЗ)_ПЗИП'!$G:$G,Справочно!$C12,'Отчет РПЗ(ПЗ)_ПЗИП'!$AO:$AO,8,'Отчет РПЗ(ПЗ)_ПЗИП'!$AG:$AG,"&gt;0")</f>
        <v>0</v>
      </c>
      <c r="AX28" s="502">
        <f>ПП!Z16</f>
        <v>0</v>
      </c>
      <c r="AY28" s="438">
        <f>SUMIFS('Отчет РПЗ(ПЗ)_ПЗИП'!$AG:$AG,'Отчет РПЗ(ПЗ)_ПЗИП'!$G:$G,Справочно!$C12,'Отчет РПЗ(ПЗ)_ПЗИП'!$AO:$AO,8,'Отчет РПЗ(ПЗ)_ПЗИП'!$AG:$AG,"&gt;0")</f>
        <v>0</v>
      </c>
      <c r="AZ28" s="203">
        <f>ПП!AA16</f>
        <v>0</v>
      </c>
      <c r="BA28" s="221">
        <f>COUNTIFS('Отчет РПЗ(ПЗ)_ПЗИП'!$G:$G,Справочно!$C12,'Отчет РПЗ(ПЗ)_ПЗИП'!$AO:$AO,9,'Отчет РПЗ(ПЗ)_ПЗИП'!$AG:$AG,"&gt;0")</f>
        <v>0</v>
      </c>
      <c r="BB28" s="502">
        <f>ПП!AB16</f>
        <v>0</v>
      </c>
      <c r="BC28" s="439">
        <f>SUMIFS('Отчет РПЗ(ПЗ)_ПЗИП'!$AG:$AG,'Отчет РПЗ(ПЗ)_ПЗИП'!$G:$G,Справочно!$C12,'Отчет РПЗ(ПЗ)_ПЗИП'!$AO:$AO,9,'Отчет РПЗ(ПЗ)_ПЗИП'!$AG:$AG,"&gt;0")</f>
        <v>0</v>
      </c>
      <c r="BD28" s="211">
        <f>ПП!AC16</f>
        <v>0</v>
      </c>
      <c r="BE28" s="220">
        <f>SUM(AS28,AW28,BA28)</f>
        <v>0</v>
      </c>
      <c r="BF28" s="503">
        <f>SUM(AT28,AX28,BB28)</f>
        <v>0</v>
      </c>
      <c r="BG28" s="402">
        <f>SUM(AU28,AY28,BC28)</f>
        <v>0</v>
      </c>
      <c r="BH28" s="201">
        <f>ПП!AE16</f>
        <v>0</v>
      </c>
      <c r="BI28" s="216">
        <f>COUNTIFS('Отчет РПЗ(ПЗ)_ПЗИП'!$G:$G,Справочно!$C12,'Отчет РПЗ(ПЗ)_ПЗИП'!$AO:$AO,10,'Отчет РПЗ(ПЗ)_ПЗИП'!$AG:$AG,"&gt;0")</f>
        <v>0</v>
      </c>
      <c r="BJ28" s="502">
        <f>ПП!AF16</f>
        <v>0</v>
      </c>
      <c r="BK28" s="440">
        <f>SUMIFS('Отчет РПЗ(ПЗ)_ПЗИП'!$AG:$AG,'Отчет РПЗ(ПЗ)_ПЗИП'!$G:$G,Справочно!$C12,'Отчет РПЗ(ПЗ)_ПЗИП'!$AO:$AO,10,'Отчет РПЗ(ПЗ)_ПЗИП'!$AG:$AG,"&gt;0")</f>
        <v>0</v>
      </c>
      <c r="BL28" s="203">
        <f>ПП!AG16</f>
        <v>0</v>
      </c>
      <c r="BM28" s="216">
        <f>COUNTIFS('Отчет РПЗ(ПЗ)_ПЗИП'!$G:$G,Справочно!$C12,'Отчет РПЗ(ПЗ)_ПЗИП'!$AO:$AO,11,'Отчет РПЗ(ПЗ)_ПЗИП'!$AG:$AG,"&gt;0")</f>
        <v>0</v>
      </c>
      <c r="BN28" s="502">
        <f>ПП!AH16</f>
        <v>0</v>
      </c>
      <c r="BO28" s="440">
        <f>SUMIFS('Отчет РПЗ(ПЗ)_ПЗИП'!$AG:$AG,'Отчет РПЗ(ПЗ)_ПЗИП'!$G:$G,Справочно!$C12,'Отчет РПЗ(ПЗ)_ПЗИП'!$AO:$AO,11,'Отчет РПЗ(ПЗ)_ПЗИП'!$AG:$AG,"&gt;0")</f>
        <v>0</v>
      </c>
      <c r="BP28" s="203">
        <f>ПП!AI16</f>
        <v>0</v>
      </c>
      <c r="BQ28" s="216">
        <f>COUNTIFS('Отчет РПЗ(ПЗ)_ПЗИП'!$G:$G,Справочно!$C12,'Отчет РПЗ(ПЗ)_ПЗИП'!$AO:$AO,12,'Отчет РПЗ(ПЗ)_ПЗИП'!$AG:$AG,"&gt;0")</f>
        <v>0</v>
      </c>
      <c r="BR28" s="502">
        <f>ПП!AJ16</f>
        <v>0</v>
      </c>
      <c r="BS28" s="441">
        <f>SUMIFS('Отчет РПЗ(ПЗ)_ПЗИП'!$AG:$AG,'Отчет РПЗ(ПЗ)_ПЗИП'!$G:$G,Справочно!$C12,'Отчет РПЗ(ПЗ)_ПЗИП'!$AO:$AO,12,'Отчет РПЗ(ПЗ)_ПЗИП'!$AG:$AG,"&gt;0")</f>
        <v>0</v>
      </c>
      <c r="BT28" s="211">
        <f>ПП!AK16</f>
        <v>0</v>
      </c>
      <c r="BU28" s="219">
        <f>SUM(BI28,BM28,BQ28)</f>
        <v>0</v>
      </c>
      <c r="BV28" s="503">
        <f>SUM(BJ28,BN28,BR28)</f>
        <v>0</v>
      </c>
      <c r="BW28" s="405">
        <f>SUM(BK28,BO28,BS28)</f>
        <v>0</v>
      </c>
    </row>
    <row r="29" spans="2:75" ht="15" customHeight="1" thickBot="1" x14ac:dyDescent="0.25">
      <c r="B29" s="86" t="s">
        <v>251</v>
      </c>
      <c r="C29" s="96">
        <f>ПП!B17</f>
        <v>0</v>
      </c>
      <c r="D29" s="491">
        <f>ПП!C17</f>
        <v>0</v>
      </c>
      <c r="E29" s="66">
        <f>COUNTIFS('Отчет РПЗ(ПЗ)_ПЗИП'!$G:$G,Справочно!$C13,'Отчет РПЗ(ПЗ)_ПЗИП'!AG:AG, "&gt;0")</f>
        <v>0</v>
      </c>
      <c r="F29" s="492" t="e">
        <f t="shared" ref="F29:F47" si="2">E29/$E$52</f>
        <v>#DIV/0!</v>
      </c>
      <c r="G29" s="493">
        <f>ПП!D17</f>
        <v>0</v>
      </c>
      <c r="H29" s="494">
        <f>ПП!E17</f>
        <v>0</v>
      </c>
      <c r="I29" s="495">
        <f>SUMIF('Отчет РПЗ(ПЗ)_ПЗИП'!$G:$G,Справочно!$C13,'Отчет РПЗ(ПЗ)_ПЗИП'!$AG:$AG)</f>
        <v>0</v>
      </c>
      <c r="J29" s="492" t="e">
        <f t="shared" ref="J29:J47" si="3">I29/$I$52</f>
        <v>#DIV/0!</v>
      </c>
      <c r="K29" s="64"/>
      <c r="L29" s="199">
        <f>ПП!G17</f>
        <v>0</v>
      </c>
      <c r="M29" s="184">
        <f>COUNTIFS('Отчет РПЗ(ПЗ)_ПЗИП'!$G:$G,Справочно!$C13,'Отчет РПЗ(ПЗ)_ПЗИП'!$AO:$AO,1,'Отчет РПЗ(ПЗ)_ПЗИП'!$AG:$AG,"&gt;0")</f>
        <v>0</v>
      </c>
      <c r="N29" s="504">
        <f>ПП!H17</f>
        <v>0</v>
      </c>
      <c r="O29" s="406">
        <f>SUMIFS('Отчет РПЗ(ПЗ)_ПЗИП'!$AG:$AG,'Отчет РПЗ(ПЗ)_ПЗИП'!$G:$G,Справочно!$C13,'Отчет РПЗ(ПЗ)_ПЗИП'!$AO:$AO,1,'Отчет РПЗ(ПЗ)_ПЗИП'!$AG:$AG,"&gt;0")</f>
        <v>0</v>
      </c>
      <c r="P29" s="44">
        <f>ПП!I17</f>
        <v>0</v>
      </c>
      <c r="Q29" s="184">
        <f>COUNTIFS('Отчет РПЗ(ПЗ)_ПЗИП'!$G:$G,Справочно!$C13,'Отчет РПЗ(ПЗ)_ПЗИП'!$AO:$AO,2,'Отчет РПЗ(ПЗ)_ПЗИП'!$AG:$AG,"&gt;0")</f>
        <v>0</v>
      </c>
      <c r="R29" s="504">
        <f>ПП!J17</f>
        <v>0</v>
      </c>
      <c r="S29" s="406">
        <f>SUMIFS('Отчет РПЗ(ПЗ)_ПЗИП'!$AG:$AG,'Отчет РПЗ(ПЗ)_ПЗИП'!$G:$G,Справочно!$C13,'Отчет РПЗ(ПЗ)_ПЗИП'!$AO:$AO,2,'Отчет РПЗ(ПЗ)_ПЗИП'!$AG:$AG,"&gt;0")</f>
        <v>0</v>
      </c>
      <c r="T29" s="44">
        <f>ПП!K17</f>
        <v>0</v>
      </c>
      <c r="U29" s="184">
        <f>COUNTIFS('Отчет РПЗ(ПЗ)_ПЗИП'!$G:$G,Справочно!$C13,'Отчет РПЗ(ПЗ)_ПЗИП'!$AO:$AO,3,'Отчет РПЗ(ПЗ)_ПЗИП'!$AG:$AG,"&gt;0")</f>
        <v>0</v>
      </c>
      <c r="V29" s="504">
        <f>ПП!L17</f>
        <v>0</v>
      </c>
      <c r="W29" s="442">
        <f>SUMIFS('Отчет РПЗ(ПЗ)_ПЗИП'!$AG:$AG,'Отчет РПЗ(ПЗ)_ПЗИП'!$G:$G,Справочно!$C13,'Отчет РПЗ(ПЗ)_ПЗИП'!$AO:$AO,3,'Отчет РПЗ(ПЗ)_ПЗИП'!$AG:$AG,"&gt;0")</f>
        <v>0</v>
      </c>
      <c r="X29" s="211">
        <f>ПП!M17</f>
        <v>0</v>
      </c>
      <c r="Y29" s="212">
        <f t="shared" ref="Y29:Y47" si="4">SUM(M29,Q29,U29)</f>
        <v>0</v>
      </c>
      <c r="Z29" s="503">
        <f t="shared" ref="Z29:Z47" si="5">SUM(N29,R29,V29)</f>
        <v>0</v>
      </c>
      <c r="AA29" s="396">
        <f t="shared" ref="AA29:AA47" si="6">SUM(O29,S29,W29)</f>
        <v>0</v>
      </c>
      <c r="AB29" s="199">
        <f>ПП!O17</f>
        <v>0</v>
      </c>
      <c r="AC29" s="223">
        <f>COUNTIFS('Отчет РПЗ(ПЗ)_ПЗИП'!$G:$G,Справочно!$C13,'Отчет РПЗ(ПЗ)_ПЗИП'!$AO:$AO,4,'Отчет РПЗ(ПЗ)_ПЗИП'!$AG:$AG,"&gt;0")</f>
        <v>0</v>
      </c>
      <c r="AD29" s="504">
        <f>ПП!P17</f>
        <v>0</v>
      </c>
      <c r="AE29" s="443">
        <f>SUMIFS('Отчет РПЗ(ПЗ)_ПЗИП'!$AG:$AG,'Отчет РПЗ(ПЗ)_ПЗИП'!$G:$G,Справочно!$C13,'Отчет РПЗ(ПЗ)_ПЗИП'!$AO:$AO,4,'Отчет РПЗ(ПЗ)_ПЗИП'!$AG:$AG,"&gt;0")</f>
        <v>0</v>
      </c>
      <c r="AF29" s="44">
        <f>ПП!Q17</f>
        <v>0</v>
      </c>
      <c r="AG29" s="223">
        <f>COUNTIFS('Отчет РПЗ(ПЗ)_ПЗИП'!$G:$G,Справочно!$C13,'Отчет РПЗ(ПЗ)_ПЗИП'!$AO:$AO,5,'Отчет РПЗ(ПЗ)_ПЗИП'!$AG:$AG,"&gt;0")</f>
        <v>0</v>
      </c>
      <c r="AH29" s="504">
        <f>ПП!R17</f>
        <v>0</v>
      </c>
      <c r="AI29" s="443">
        <f>SUMIFS('Отчет РПЗ(ПЗ)_ПЗИП'!$AG:$AG,'Отчет РПЗ(ПЗ)_ПЗИП'!$G:$G,Справочно!$C13,'Отчет РПЗ(ПЗ)_ПЗИП'!$AO:$AO,5,'Отчет РПЗ(ПЗ)_ПЗИП'!$AG:$AG,"&gt;0")</f>
        <v>0</v>
      </c>
      <c r="AJ29" s="44">
        <f>ПП!S17</f>
        <v>0</v>
      </c>
      <c r="AK29" s="223">
        <f>COUNTIFS('Отчет РПЗ(ПЗ)_ПЗИП'!$G:$G,Справочно!$C13,'Отчет РПЗ(ПЗ)_ПЗИП'!$AO:$AO,6,'Отчет РПЗ(ПЗ)_ПЗИП'!$AG:$AG,"&gt;0")</f>
        <v>0</v>
      </c>
      <c r="AL29" s="504">
        <f>ПП!T17</f>
        <v>0</v>
      </c>
      <c r="AM29" s="444">
        <f>SUMIFS('Отчет РПЗ(ПЗ)_ПЗИП'!$AG:$AG,'Отчет РПЗ(ПЗ)_ПЗИП'!$G:$G,Справочно!$C13,'Отчет РПЗ(ПЗ)_ПЗИП'!$AO:$AO,6,'Отчет РПЗ(ПЗ)_ПЗИП'!$AG:$AG,"&gt;0")</f>
        <v>0</v>
      </c>
      <c r="AN29" s="211">
        <f>ПП!U17</f>
        <v>0</v>
      </c>
      <c r="AO29" s="225">
        <f t="shared" ref="AO29:AO47" si="7">SUM(AC29,AG29,AK29)</f>
        <v>0</v>
      </c>
      <c r="AP29" s="503">
        <f t="shared" ref="AP29:AP47" si="8">SUM(AD29,AH29,AL29)</f>
        <v>0</v>
      </c>
      <c r="AQ29" s="399">
        <f t="shared" ref="AQ29:AQ47" si="9">SUM(AE29,AI29,AM29)</f>
        <v>0</v>
      </c>
      <c r="AR29" s="199">
        <f>ПП!W17</f>
        <v>0</v>
      </c>
      <c r="AS29" s="180">
        <f>COUNTIFS('Отчет РПЗ(ПЗ)_ПЗИП'!$G:$G,Справочно!$C13,'Отчет РПЗ(ПЗ)_ПЗИП'!$AO:$AO,7,'Отчет РПЗ(ПЗ)_ПЗИП'!$AG:$AG,"&gt;0")</f>
        <v>0</v>
      </c>
      <c r="AT29" s="504">
        <f>ПП!X17</f>
        <v>0</v>
      </c>
      <c r="AU29" s="445">
        <f>SUMIFS('Отчет РПЗ(ПЗ)_ПЗИП'!$AG:$AG,'Отчет РПЗ(ПЗ)_ПЗИП'!$G:$G,Справочно!$C13,'Отчет РПЗ(ПЗ)_ПЗИП'!$AO:$AO,7,'Отчет РПЗ(ПЗ)_ПЗИП'!$AG:$AG,"&gt;0")</f>
        <v>0</v>
      </c>
      <c r="AV29" s="44">
        <f>ПП!Y17</f>
        <v>0</v>
      </c>
      <c r="AW29" s="180">
        <f>COUNTIFS('Отчет РПЗ(ПЗ)_ПЗИП'!$G:$G,Справочно!$C13,'Отчет РПЗ(ПЗ)_ПЗИП'!$AO:$AO,8,'Отчет РПЗ(ПЗ)_ПЗИП'!$AG:$AG,"&gt;0")</f>
        <v>0</v>
      </c>
      <c r="AX29" s="504">
        <f>ПП!Z17</f>
        <v>0</v>
      </c>
      <c r="AY29" s="445">
        <f>SUMIFS('Отчет РПЗ(ПЗ)_ПЗИП'!$AG:$AG,'Отчет РПЗ(ПЗ)_ПЗИП'!$G:$G,Справочно!$C13,'Отчет РПЗ(ПЗ)_ПЗИП'!$AO:$AO,8,'Отчет РПЗ(ПЗ)_ПЗИП'!$AG:$AG,"&gt;0")</f>
        <v>0</v>
      </c>
      <c r="AZ29" s="44">
        <f>ПП!AA17</f>
        <v>0</v>
      </c>
      <c r="BA29" s="180">
        <f>COUNTIFS('Отчет РПЗ(ПЗ)_ПЗИП'!$G:$G,Справочно!$C13,'Отчет РПЗ(ПЗ)_ПЗИП'!$AO:$AO,9,'Отчет РПЗ(ПЗ)_ПЗИП'!$AG:$AG,"&gt;0")</f>
        <v>0</v>
      </c>
      <c r="BB29" s="504">
        <f>ПП!AB17</f>
        <v>0</v>
      </c>
      <c r="BC29" s="446">
        <f>SUMIFS('Отчет РПЗ(ПЗ)_ПЗИП'!$AG:$AG,'Отчет РПЗ(ПЗ)_ПЗИП'!$G:$G,Справочно!$C13,'Отчет РПЗ(ПЗ)_ПЗИП'!$AO:$AO,9,'Отчет РПЗ(ПЗ)_ПЗИП'!$AG:$AG,"&gt;0")</f>
        <v>0</v>
      </c>
      <c r="BD29" s="211">
        <f>ПП!AC17</f>
        <v>0</v>
      </c>
      <c r="BE29" s="220">
        <f t="shared" ref="BE29:BE47" si="10">SUM(AS29,AW29,BA29)</f>
        <v>0</v>
      </c>
      <c r="BF29" s="503">
        <f t="shared" ref="BF29:BF47" si="11">SUM(AT29,AX29,BB29)</f>
        <v>0</v>
      </c>
      <c r="BG29" s="402">
        <f t="shared" ref="BG29:BG47" si="12">SUM(AU29,AY29,BC29)</f>
        <v>0</v>
      </c>
      <c r="BH29" s="199">
        <f>ПП!AE17</f>
        <v>0</v>
      </c>
      <c r="BI29" s="217">
        <f>COUNTIFS('Отчет РПЗ(ПЗ)_ПЗИП'!$G:$G,Справочно!$C13,'Отчет РПЗ(ПЗ)_ПЗИП'!$AO:$AO,10,'Отчет РПЗ(ПЗ)_ПЗИП'!$AG:$AG,"&gt;0")</f>
        <v>0</v>
      </c>
      <c r="BJ29" s="504">
        <f>ПП!AF17</f>
        <v>0</v>
      </c>
      <c r="BK29" s="447">
        <f>SUMIFS('Отчет РПЗ(ПЗ)_ПЗИП'!$AG:$AG,'Отчет РПЗ(ПЗ)_ПЗИП'!$G:$G,Справочно!$C13,'Отчет РПЗ(ПЗ)_ПЗИП'!$AO:$AO,10,'Отчет РПЗ(ПЗ)_ПЗИП'!$AG:$AG,"&gt;0")</f>
        <v>0</v>
      </c>
      <c r="BL29" s="44">
        <f>ПП!AG17</f>
        <v>0</v>
      </c>
      <c r="BM29" s="217">
        <f>COUNTIFS('Отчет РПЗ(ПЗ)_ПЗИП'!$G:$G,Справочно!$C13,'Отчет РПЗ(ПЗ)_ПЗИП'!$AO:$AO,11,'Отчет РПЗ(ПЗ)_ПЗИП'!$AG:$AG,"&gt;0")</f>
        <v>0</v>
      </c>
      <c r="BN29" s="504">
        <f>ПП!AH17</f>
        <v>0</v>
      </c>
      <c r="BO29" s="447">
        <f>SUMIFS('Отчет РПЗ(ПЗ)_ПЗИП'!$AG:$AG,'Отчет РПЗ(ПЗ)_ПЗИП'!$G:$G,Справочно!$C13,'Отчет РПЗ(ПЗ)_ПЗИП'!$AO:$AO,11,'Отчет РПЗ(ПЗ)_ПЗИП'!$AG:$AG,"&gt;0")</f>
        <v>0</v>
      </c>
      <c r="BP29" s="44">
        <f>ПП!AI17</f>
        <v>0</v>
      </c>
      <c r="BQ29" s="217">
        <f>COUNTIFS('Отчет РПЗ(ПЗ)_ПЗИП'!$G:$G,Справочно!$C13,'Отчет РПЗ(ПЗ)_ПЗИП'!$AO:$AO,12,'Отчет РПЗ(ПЗ)_ПЗИП'!$AG:$AG,"&gt;0")</f>
        <v>0</v>
      </c>
      <c r="BR29" s="504">
        <f>ПП!AJ17</f>
        <v>0</v>
      </c>
      <c r="BS29" s="448">
        <f>SUMIFS('Отчет РПЗ(ПЗ)_ПЗИП'!$AG:$AG,'Отчет РПЗ(ПЗ)_ПЗИП'!$G:$G,Справочно!$C13,'Отчет РПЗ(ПЗ)_ПЗИП'!$AO:$AO,12,'Отчет РПЗ(ПЗ)_ПЗИП'!$AG:$AG,"&gt;0")</f>
        <v>0</v>
      </c>
      <c r="BT29" s="211">
        <f>ПП!AK17</f>
        <v>0</v>
      </c>
      <c r="BU29" s="219">
        <f t="shared" ref="BU29:BU47" si="13">SUM(BI29,BM29,BQ29)</f>
        <v>0</v>
      </c>
      <c r="BV29" s="503">
        <f t="shared" ref="BV29:BV47" si="14">SUM(BJ29,BN29,BR29)</f>
        <v>0</v>
      </c>
      <c r="BW29" s="405">
        <f t="shared" ref="BW29:BW47" si="15">SUM(BK29,BO29,BS29)</f>
        <v>0</v>
      </c>
    </row>
    <row r="30" spans="2:75" ht="13.5" customHeight="1" thickBot="1" x14ac:dyDescent="0.25">
      <c r="B30" s="86" t="s">
        <v>103</v>
      </c>
      <c r="C30" s="96">
        <f>ПП!B18</f>
        <v>0</v>
      </c>
      <c r="D30" s="491">
        <f>ПП!C18</f>
        <v>0</v>
      </c>
      <c r="E30" s="66">
        <f>COUNTIFS('Отчет РПЗ(ПЗ)_ПЗИП'!$G:$G,Справочно!$C14,'Отчет РПЗ(ПЗ)_ПЗИП'!AG:AG, "&gt;0")</f>
        <v>0</v>
      </c>
      <c r="F30" s="492" t="e">
        <f t="shared" si="2"/>
        <v>#DIV/0!</v>
      </c>
      <c r="G30" s="493">
        <f>ПП!D18</f>
        <v>0</v>
      </c>
      <c r="H30" s="494">
        <f>ПП!E18</f>
        <v>0</v>
      </c>
      <c r="I30" s="495">
        <f>SUMIF('Отчет РПЗ(ПЗ)_ПЗИП'!$G:$G,Справочно!$C14,'Отчет РПЗ(ПЗ)_ПЗИП'!$AG:$AG)</f>
        <v>0</v>
      </c>
      <c r="J30" s="492" t="e">
        <f t="shared" si="3"/>
        <v>#DIV/0!</v>
      </c>
      <c r="K30" s="64"/>
      <c r="L30" s="199">
        <f>ПП!G18</f>
        <v>0</v>
      </c>
      <c r="M30" s="184">
        <f>COUNTIFS('Отчет РПЗ(ПЗ)_ПЗИП'!$G:$G,Справочно!$C14,'Отчет РПЗ(ПЗ)_ПЗИП'!$AO:$AO,1,'Отчет РПЗ(ПЗ)_ПЗИП'!$AG:$AG,"&gt;0")</f>
        <v>0</v>
      </c>
      <c r="N30" s="504">
        <f>ПП!H18</f>
        <v>0</v>
      </c>
      <c r="O30" s="406">
        <f>SUMIFS('Отчет РПЗ(ПЗ)_ПЗИП'!$AG:$AG,'Отчет РПЗ(ПЗ)_ПЗИП'!$G:$G,Справочно!$C14,'Отчет РПЗ(ПЗ)_ПЗИП'!$AO:$AO,1,'Отчет РПЗ(ПЗ)_ПЗИП'!$AG:$AG,"&gt;0")</f>
        <v>0</v>
      </c>
      <c r="P30" s="44">
        <f>ПП!I18</f>
        <v>0</v>
      </c>
      <c r="Q30" s="184">
        <f>COUNTIFS('Отчет РПЗ(ПЗ)_ПЗИП'!$G:$G,Справочно!$C14,'Отчет РПЗ(ПЗ)_ПЗИП'!$AO:$AO,2,'Отчет РПЗ(ПЗ)_ПЗИП'!$AG:$AG,"&gt;0")</f>
        <v>0</v>
      </c>
      <c r="R30" s="504">
        <f>ПП!J18</f>
        <v>0</v>
      </c>
      <c r="S30" s="406">
        <f>SUMIFS('Отчет РПЗ(ПЗ)_ПЗИП'!$AG:$AG,'Отчет РПЗ(ПЗ)_ПЗИП'!$G:$G,Справочно!$C14,'Отчет РПЗ(ПЗ)_ПЗИП'!$AO:$AO,2,'Отчет РПЗ(ПЗ)_ПЗИП'!$AG:$AG,"&gt;0")</f>
        <v>0</v>
      </c>
      <c r="T30" s="44">
        <f>ПП!K18</f>
        <v>0</v>
      </c>
      <c r="U30" s="184">
        <f>COUNTIFS('Отчет РПЗ(ПЗ)_ПЗИП'!$G:$G,Справочно!$C14,'Отчет РПЗ(ПЗ)_ПЗИП'!$AO:$AO,3,'Отчет РПЗ(ПЗ)_ПЗИП'!$AG:$AG,"&gt;0")</f>
        <v>0</v>
      </c>
      <c r="V30" s="504">
        <f>ПП!L18</f>
        <v>0</v>
      </c>
      <c r="W30" s="442">
        <f>SUMIFS('Отчет РПЗ(ПЗ)_ПЗИП'!$AG:$AG,'Отчет РПЗ(ПЗ)_ПЗИП'!$G:$G,Справочно!$C14,'Отчет РПЗ(ПЗ)_ПЗИП'!$AO:$AO,3,'Отчет РПЗ(ПЗ)_ПЗИП'!$AG:$AG,"&gt;0")</f>
        <v>0</v>
      </c>
      <c r="X30" s="211">
        <f>ПП!M18</f>
        <v>0</v>
      </c>
      <c r="Y30" s="212">
        <f t="shared" si="4"/>
        <v>0</v>
      </c>
      <c r="Z30" s="503">
        <f t="shared" si="5"/>
        <v>0</v>
      </c>
      <c r="AA30" s="396">
        <f t="shared" si="6"/>
        <v>0</v>
      </c>
      <c r="AB30" s="199">
        <f>ПП!O18</f>
        <v>0</v>
      </c>
      <c r="AC30" s="223">
        <f>COUNTIFS('Отчет РПЗ(ПЗ)_ПЗИП'!$G:$G,Справочно!$C14,'Отчет РПЗ(ПЗ)_ПЗИП'!$AO:$AO,4,'Отчет РПЗ(ПЗ)_ПЗИП'!$AG:$AG,"&gt;0")</f>
        <v>0</v>
      </c>
      <c r="AD30" s="504">
        <f>ПП!P18</f>
        <v>0</v>
      </c>
      <c r="AE30" s="443">
        <f>SUMIFS('Отчет РПЗ(ПЗ)_ПЗИП'!$AG:$AG,'Отчет РПЗ(ПЗ)_ПЗИП'!$G:$G,Справочно!$C14,'Отчет РПЗ(ПЗ)_ПЗИП'!$AO:$AO,4,'Отчет РПЗ(ПЗ)_ПЗИП'!$AG:$AG,"&gt;0")</f>
        <v>0</v>
      </c>
      <c r="AF30" s="44">
        <f>ПП!Q18</f>
        <v>0</v>
      </c>
      <c r="AG30" s="223">
        <f>COUNTIFS('Отчет РПЗ(ПЗ)_ПЗИП'!$G:$G,Справочно!$C14,'Отчет РПЗ(ПЗ)_ПЗИП'!$AO:$AO,5,'Отчет РПЗ(ПЗ)_ПЗИП'!$AG:$AG,"&gt;0")</f>
        <v>0</v>
      </c>
      <c r="AH30" s="504">
        <f>ПП!R18</f>
        <v>0</v>
      </c>
      <c r="AI30" s="443">
        <f>SUMIFS('Отчет РПЗ(ПЗ)_ПЗИП'!$AG:$AG,'Отчет РПЗ(ПЗ)_ПЗИП'!$G:$G,Справочно!$C14,'Отчет РПЗ(ПЗ)_ПЗИП'!$AO:$AO,5,'Отчет РПЗ(ПЗ)_ПЗИП'!$AG:$AG,"&gt;0")</f>
        <v>0</v>
      </c>
      <c r="AJ30" s="44">
        <f>ПП!S18</f>
        <v>0</v>
      </c>
      <c r="AK30" s="223">
        <f>COUNTIFS('Отчет РПЗ(ПЗ)_ПЗИП'!$G:$G,Справочно!$C14,'Отчет РПЗ(ПЗ)_ПЗИП'!$AO:$AO,6,'Отчет РПЗ(ПЗ)_ПЗИП'!$AG:$AG,"&gt;0")</f>
        <v>0</v>
      </c>
      <c r="AL30" s="504">
        <f>ПП!T18</f>
        <v>0</v>
      </c>
      <c r="AM30" s="444">
        <f>SUMIFS('Отчет РПЗ(ПЗ)_ПЗИП'!$AG:$AG,'Отчет РПЗ(ПЗ)_ПЗИП'!$G:$G,Справочно!$C14,'Отчет РПЗ(ПЗ)_ПЗИП'!$AO:$AO,6,'Отчет РПЗ(ПЗ)_ПЗИП'!$AG:$AG,"&gt;0")</f>
        <v>0</v>
      </c>
      <c r="AN30" s="211">
        <f>ПП!U18</f>
        <v>0</v>
      </c>
      <c r="AO30" s="225">
        <f t="shared" si="7"/>
        <v>0</v>
      </c>
      <c r="AP30" s="503">
        <f t="shared" si="8"/>
        <v>0</v>
      </c>
      <c r="AQ30" s="399">
        <f t="shared" si="9"/>
        <v>0</v>
      </c>
      <c r="AR30" s="199">
        <f>ПП!W18</f>
        <v>0</v>
      </c>
      <c r="AS30" s="180">
        <f>COUNTIFS('Отчет РПЗ(ПЗ)_ПЗИП'!$G:$G,Справочно!$C14,'Отчет РПЗ(ПЗ)_ПЗИП'!$AO:$AO,7,'Отчет РПЗ(ПЗ)_ПЗИП'!$AG:$AG,"&gt;0")</f>
        <v>0</v>
      </c>
      <c r="AT30" s="504">
        <f>ПП!X18</f>
        <v>0</v>
      </c>
      <c r="AU30" s="445">
        <f>SUMIFS('Отчет РПЗ(ПЗ)_ПЗИП'!$AG:$AG,'Отчет РПЗ(ПЗ)_ПЗИП'!$G:$G,Справочно!$C14,'Отчет РПЗ(ПЗ)_ПЗИП'!$AO:$AO,7,'Отчет РПЗ(ПЗ)_ПЗИП'!$AG:$AG,"&gt;0")</f>
        <v>0</v>
      </c>
      <c r="AV30" s="44">
        <f>ПП!Y18</f>
        <v>0</v>
      </c>
      <c r="AW30" s="180">
        <f>COUNTIFS('Отчет РПЗ(ПЗ)_ПЗИП'!$G:$G,Справочно!$C14,'Отчет РПЗ(ПЗ)_ПЗИП'!$AO:$AO,8,'Отчет РПЗ(ПЗ)_ПЗИП'!$AG:$AG,"&gt;0")</f>
        <v>0</v>
      </c>
      <c r="AX30" s="504">
        <f>ПП!Z18</f>
        <v>0</v>
      </c>
      <c r="AY30" s="445">
        <f>SUMIFS('Отчет РПЗ(ПЗ)_ПЗИП'!$AG:$AG,'Отчет РПЗ(ПЗ)_ПЗИП'!$G:$G,Справочно!$C14,'Отчет РПЗ(ПЗ)_ПЗИП'!$AO:$AO,8,'Отчет РПЗ(ПЗ)_ПЗИП'!$AG:$AG,"&gt;0")</f>
        <v>0</v>
      </c>
      <c r="AZ30" s="44">
        <f>ПП!AA18</f>
        <v>0</v>
      </c>
      <c r="BA30" s="180">
        <f>COUNTIFS('Отчет РПЗ(ПЗ)_ПЗИП'!$G:$G,Справочно!$C14,'Отчет РПЗ(ПЗ)_ПЗИП'!$AO:$AO,9,'Отчет РПЗ(ПЗ)_ПЗИП'!$AG:$AG,"&gt;0")</f>
        <v>0</v>
      </c>
      <c r="BB30" s="504">
        <f>ПП!AB18</f>
        <v>0</v>
      </c>
      <c r="BC30" s="446">
        <f>SUMIFS('Отчет РПЗ(ПЗ)_ПЗИП'!$AG:$AG,'Отчет РПЗ(ПЗ)_ПЗИП'!$G:$G,Справочно!$C14,'Отчет РПЗ(ПЗ)_ПЗИП'!$AO:$AO,9,'Отчет РПЗ(ПЗ)_ПЗИП'!$AG:$AG,"&gt;0")</f>
        <v>0</v>
      </c>
      <c r="BD30" s="211">
        <f>ПП!AC18</f>
        <v>0</v>
      </c>
      <c r="BE30" s="220">
        <f t="shared" si="10"/>
        <v>0</v>
      </c>
      <c r="BF30" s="503">
        <f t="shared" si="11"/>
        <v>0</v>
      </c>
      <c r="BG30" s="402">
        <f t="shared" si="12"/>
        <v>0</v>
      </c>
      <c r="BH30" s="199">
        <f>ПП!AE18</f>
        <v>0</v>
      </c>
      <c r="BI30" s="217">
        <f>COUNTIFS('Отчет РПЗ(ПЗ)_ПЗИП'!$G:$G,Справочно!$C14,'Отчет РПЗ(ПЗ)_ПЗИП'!$AO:$AO,10,'Отчет РПЗ(ПЗ)_ПЗИП'!$AG:$AG,"&gt;0")</f>
        <v>0</v>
      </c>
      <c r="BJ30" s="504">
        <f>ПП!AF18</f>
        <v>0</v>
      </c>
      <c r="BK30" s="447">
        <f>SUMIFS('Отчет РПЗ(ПЗ)_ПЗИП'!$AG:$AG,'Отчет РПЗ(ПЗ)_ПЗИП'!$G:$G,Справочно!$C14,'Отчет РПЗ(ПЗ)_ПЗИП'!$AO:$AO,10,'Отчет РПЗ(ПЗ)_ПЗИП'!$AG:$AG,"&gt;0")</f>
        <v>0</v>
      </c>
      <c r="BL30" s="44">
        <f>ПП!AG18</f>
        <v>0</v>
      </c>
      <c r="BM30" s="217">
        <f>COUNTIFS('Отчет РПЗ(ПЗ)_ПЗИП'!$G:$G,Справочно!$C14,'Отчет РПЗ(ПЗ)_ПЗИП'!$AO:$AO,11,'Отчет РПЗ(ПЗ)_ПЗИП'!$AG:$AG,"&gt;0")</f>
        <v>0</v>
      </c>
      <c r="BN30" s="504">
        <f>ПП!AH18</f>
        <v>0</v>
      </c>
      <c r="BO30" s="447">
        <f>SUMIFS('Отчет РПЗ(ПЗ)_ПЗИП'!$AG:$AG,'Отчет РПЗ(ПЗ)_ПЗИП'!$G:$G,Справочно!$C14,'Отчет РПЗ(ПЗ)_ПЗИП'!$AO:$AO,11,'Отчет РПЗ(ПЗ)_ПЗИП'!$AG:$AG,"&gt;0")</f>
        <v>0</v>
      </c>
      <c r="BP30" s="44">
        <f>ПП!AI18</f>
        <v>0</v>
      </c>
      <c r="BQ30" s="217">
        <f>COUNTIFS('Отчет РПЗ(ПЗ)_ПЗИП'!$G:$G,Справочно!$C14,'Отчет РПЗ(ПЗ)_ПЗИП'!$AO:$AO,12,'Отчет РПЗ(ПЗ)_ПЗИП'!$AG:$AG,"&gt;0")</f>
        <v>0</v>
      </c>
      <c r="BR30" s="504">
        <f>ПП!AJ18</f>
        <v>0</v>
      </c>
      <c r="BS30" s="448">
        <f>SUMIFS('Отчет РПЗ(ПЗ)_ПЗИП'!$AG:$AG,'Отчет РПЗ(ПЗ)_ПЗИП'!$G:$G,Справочно!$C14,'Отчет РПЗ(ПЗ)_ПЗИП'!$AO:$AO,12,'Отчет РПЗ(ПЗ)_ПЗИП'!$AG:$AG,"&gt;0")</f>
        <v>0</v>
      </c>
      <c r="BT30" s="211">
        <f>ПП!AK18</f>
        <v>0</v>
      </c>
      <c r="BU30" s="219">
        <f t="shared" si="13"/>
        <v>0</v>
      </c>
      <c r="BV30" s="503">
        <f t="shared" si="14"/>
        <v>0</v>
      </c>
      <c r="BW30" s="405">
        <f t="shared" si="15"/>
        <v>0</v>
      </c>
    </row>
    <row r="31" spans="2:75" ht="15" customHeight="1" thickBot="1" x14ac:dyDescent="0.25">
      <c r="B31" s="86" t="s">
        <v>252</v>
      </c>
      <c r="C31" s="96">
        <f>ПП!B19</f>
        <v>0</v>
      </c>
      <c r="D31" s="491">
        <f>ПП!C19</f>
        <v>0</v>
      </c>
      <c r="E31" s="66">
        <f>COUNTIFS('Отчет РПЗ(ПЗ)_ПЗИП'!$G:$G,Справочно!$C15,'Отчет РПЗ(ПЗ)_ПЗИП'!AG:AG, "&gt;0")</f>
        <v>0</v>
      </c>
      <c r="F31" s="492" t="e">
        <f t="shared" si="2"/>
        <v>#DIV/0!</v>
      </c>
      <c r="G31" s="493">
        <f>ПП!D19</f>
        <v>0</v>
      </c>
      <c r="H31" s="494">
        <f>ПП!E19</f>
        <v>0</v>
      </c>
      <c r="I31" s="495">
        <f>SUMIF('Отчет РПЗ(ПЗ)_ПЗИП'!$G:$G,Справочно!$C15,'Отчет РПЗ(ПЗ)_ПЗИП'!$AG:$AG)</f>
        <v>0</v>
      </c>
      <c r="J31" s="492" t="e">
        <f t="shared" si="3"/>
        <v>#DIV/0!</v>
      </c>
      <c r="K31" s="64"/>
      <c r="L31" s="199">
        <f>ПП!G19</f>
        <v>0</v>
      </c>
      <c r="M31" s="184">
        <f>COUNTIFS('Отчет РПЗ(ПЗ)_ПЗИП'!$G:$G,Справочно!$C15,'Отчет РПЗ(ПЗ)_ПЗИП'!$AO:$AO,1,'Отчет РПЗ(ПЗ)_ПЗИП'!$AG:$AG,"&gt;0")</f>
        <v>0</v>
      </c>
      <c r="N31" s="504">
        <f>ПП!H19</f>
        <v>0</v>
      </c>
      <c r="O31" s="406">
        <f>SUMIFS('Отчет РПЗ(ПЗ)_ПЗИП'!$AG:$AG,'Отчет РПЗ(ПЗ)_ПЗИП'!$G:$G,Справочно!$C15,'Отчет РПЗ(ПЗ)_ПЗИП'!$AO:$AO,1,'Отчет РПЗ(ПЗ)_ПЗИП'!$AG:$AG,"&gt;0")</f>
        <v>0</v>
      </c>
      <c r="P31" s="44">
        <f>ПП!I19</f>
        <v>0</v>
      </c>
      <c r="Q31" s="184">
        <f>COUNTIFS('Отчет РПЗ(ПЗ)_ПЗИП'!$G:$G,Справочно!$C15,'Отчет РПЗ(ПЗ)_ПЗИП'!$AO:$AO,2,'Отчет РПЗ(ПЗ)_ПЗИП'!$AG:$AG,"&gt;0")</f>
        <v>0</v>
      </c>
      <c r="R31" s="504">
        <f>ПП!J19</f>
        <v>0</v>
      </c>
      <c r="S31" s="406">
        <f>SUMIFS('Отчет РПЗ(ПЗ)_ПЗИП'!$AG:$AG,'Отчет РПЗ(ПЗ)_ПЗИП'!$G:$G,Справочно!$C15,'Отчет РПЗ(ПЗ)_ПЗИП'!$AO:$AO,2,'Отчет РПЗ(ПЗ)_ПЗИП'!$AG:$AG,"&gt;0")</f>
        <v>0</v>
      </c>
      <c r="T31" s="44">
        <f>ПП!K19</f>
        <v>0</v>
      </c>
      <c r="U31" s="184">
        <f>COUNTIFS('Отчет РПЗ(ПЗ)_ПЗИП'!$G:$G,Справочно!$C15,'Отчет РПЗ(ПЗ)_ПЗИП'!$AO:$AO,3,'Отчет РПЗ(ПЗ)_ПЗИП'!$AG:$AG,"&gt;0")</f>
        <v>0</v>
      </c>
      <c r="V31" s="504">
        <f>ПП!L19</f>
        <v>0</v>
      </c>
      <c r="W31" s="442">
        <f>SUMIFS('Отчет РПЗ(ПЗ)_ПЗИП'!$AG:$AG,'Отчет РПЗ(ПЗ)_ПЗИП'!$G:$G,Справочно!$C15,'Отчет РПЗ(ПЗ)_ПЗИП'!$AO:$AO,3,'Отчет РПЗ(ПЗ)_ПЗИП'!$AG:$AG,"&gt;0")</f>
        <v>0</v>
      </c>
      <c r="X31" s="211">
        <f>ПП!M19</f>
        <v>0</v>
      </c>
      <c r="Y31" s="212">
        <f t="shared" si="4"/>
        <v>0</v>
      </c>
      <c r="Z31" s="503">
        <f t="shared" si="5"/>
        <v>0</v>
      </c>
      <c r="AA31" s="396">
        <f t="shared" si="6"/>
        <v>0</v>
      </c>
      <c r="AB31" s="199">
        <f>ПП!O19</f>
        <v>0</v>
      </c>
      <c r="AC31" s="223">
        <f>COUNTIFS('Отчет РПЗ(ПЗ)_ПЗИП'!$G:$G,Справочно!$C15,'Отчет РПЗ(ПЗ)_ПЗИП'!$AO:$AO,4,'Отчет РПЗ(ПЗ)_ПЗИП'!$AG:$AG,"&gt;0")</f>
        <v>0</v>
      </c>
      <c r="AD31" s="504">
        <f>ПП!P19</f>
        <v>0</v>
      </c>
      <c r="AE31" s="443">
        <f>SUMIFS('Отчет РПЗ(ПЗ)_ПЗИП'!$AG:$AG,'Отчет РПЗ(ПЗ)_ПЗИП'!$G:$G,Справочно!$C15,'Отчет РПЗ(ПЗ)_ПЗИП'!$AO:$AO,4,'Отчет РПЗ(ПЗ)_ПЗИП'!$AG:$AG,"&gt;0")</f>
        <v>0</v>
      </c>
      <c r="AF31" s="44">
        <f>ПП!Q19</f>
        <v>0</v>
      </c>
      <c r="AG31" s="223">
        <f>COUNTIFS('Отчет РПЗ(ПЗ)_ПЗИП'!$G:$G,Справочно!$C15,'Отчет РПЗ(ПЗ)_ПЗИП'!$AO:$AO,5,'Отчет РПЗ(ПЗ)_ПЗИП'!$AG:$AG,"&gt;0")</f>
        <v>0</v>
      </c>
      <c r="AH31" s="504">
        <f>ПП!R19</f>
        <v>0</v>
      </c>
      <c r="AI31" s="443">
        <f>SUMIFS('Отчет РПЗ(ПЗ)_ПЗИП'!$AG:$AG,'Отчет РПЗ(ПЗ)_ПЗИП'!$G:$G,Справочно!$C15,'Отчет РПЗ(ПЗ)_ПЗИП'!$AO:$AO,5,'Отчет РПЗ(ПЗ)_ПЗИП'!$AG:$AG,"&gt;0")</f>
        <v>0</v>
      </c>
      <c r="AJ31" s="44">
        <f>ПП!S19</f>
        <v>0</v>
      </c>
      <c r="AK31" s="223">
        <f>COUNTIFS('Отчет РПЗ(ПЗ)_ПЗИП'!$G:$G,Справочно!$C15,'Отчет РПЗ(ПЗ)_ПЗИП'!$AO:$AO,6,'Отчет РПЗ(ПЗ)_ПЗИП'!$AG:$AG,"&gt;0")</f>
        <v>0</v>
      </c>
      <c r="AL31" s="504">
        <f>ПП!T19</f>
        <v>0</v>
      </c>
      <c r="AM31" s="444">
        <f>SUMIFS('Отчет РПЗ(ПЗ)_ПЗИП'!$AG:$AG,'Отчет РПЗ(ПЗ)_ПЗИП'!$G:$G,Справочно!$C15,'Отчет РПЗ(ПЗ)_ПЗИП'!$AO:$AO,6,'Отчет РПЗ(ПЗ)_ПЗИП'!$AG:$AG,"&gt;0")</f>
        <v>0</v>
      </c>
      <c r="AN31" s="211">
        <f>ПП!U19</f>
        <v>0</v>
      </c>
      <c r="AO31" s="225">
        <f t="shared" si="7"/>
        <v>0</v>
      </c>
      <c r="AP31" s="503">
        <f t="shared" si="8"/>
        <v>0</v>
      </c>
      <c r="AQ31" s="399">
        <f t="shared" si="9"/>
        <v>0</v>
      </c>
      <c r="AR31" s="199">
        <f>ПП!W19</f>
        <v>0</v>
      </c>
      <c r="AS31" s="180">
        <f>COUNTIFS('Отчет РПЗ(ПЗ)_ПЗИП'!$G:$G,Справочно!$C15,'Отчет РПЗ(ПЗ)_ПЗИП'!$AO:$AO,7,'Отчет РПЗ(ПЗ)_ПЗИП'!$AG:$AG,"&gt;0")</f>
        <v>0</v>
      </c>
      <c r="AT31" s="504">
        <f>ПП!X19</f>
        <v>0</v>
      </c>
      <c r="AU31" s="445">
        <f>SUMIFS('Отчет РПЗ(ПЗ)_ПЗИП'!$AG:$AG,'Отчет РПЗ(ПЗ)_ПЗИП'!$G:$G,Справочно!$C15,'Отчет РПЗ(ПЗ)_ПЗИП'!$AO:$AO,7,'Отчет РПЗ(ПЗ)_ПЗИП'!$AG:$AG,"&gt;0")</f>
        <v>0</v>
      </c>
      <c r="AV31" s="44">
        <f>ПП!Y19</f>
        <v>0</v>
      </c>
      <c r="AW31" s="180">
        <f>COUNTIFS('Отчет РПЗ(ПЗ)_ПЗИП'!$G:$G,Справочно!$C15,'Отчет РПЗ(ПЗ)_ПЗИП'!$AO:$AO,8,'Отчет РПЗ(ПЗ)_ПЗИП'!$AG:$AG,"&gt;0")</f>
        <v>0</v>
      </c>
      <c r="AX31" s="504">
        <f>ПП!Z19</f>
        <v>0</v>
      </c>
      <c r="AY31" s="445">
        <f>SUMIFS('Отчет РПЗ(ПЗ)_ПЗИП'!$AG:$AG,'Отчет РПЗ(ПЗ)_ПЗИП'!$G:$G,Справочно!$C15,'Отчет РПЗ(ПЗ)_ПЗИП'!$AO:$AO,8,'Отчет РПЗ(ПЗ)_ПЗИП'!$AG:$AG,"&gt;0")</f>
        <v>0</v>
      </c>
      <c r="AZ31" s="44">
        <f>ПП!AA19</f>
        <v>0</v>
      </c>
      <c r="BA31" s="180">
        <f>COUNTIFS('Отчет РПЗ(ПЗ)_ПЗИП'!$G:$G,Справочно!$C15,'Отчет РПЗ(ПЗ)_ПЗИП'!$AO:$AO,9,'Отчет РПЗ(ПЗ)_ПЗИП'!$AG:$AG,"&gt;0")</f>
        <v>0</v>
      </c>
      <c r="BB31" s="504">
        <f>ПП!AB19</f>
        <v>0</v>
      </c>
      <c r="BC31" s="446">
        <f>SUMIFS('Отчет РПЗ(ПЗ)_ПЗИП'!$AG:$AG,'Отчет РПЗ(ПЗ)_ПЗИП'!$G:$G,Справочно!$C15,'Отчет РПЗ(ПЗ)_ПЗИП'!$AO:$AO,9,'Отчет РПЗ(ПЗ)_ПЗИП'!$AG:$AG,"&gt;0")</f>
        <v>0</v>
      </c>
      <c r="BD31" s="211">
        <f>ПП!AC19</f>
        <v>0</v>
      </c>
      <c r="BE31" s="220">
        <f t="shared" si="10"/>
        <v>0</v>
      </c>
      <c r="BF31" s="503">
        <f t="shared" si="11"/>
        <v>0</v>
      </c>
      <c r="BG31" s="402">
        <f t="shared" si="12"/>
        <v>0</v>
      </c>
      <c r="BH31" s="199">
        <f>ПП!AE19</f>
        <v>0</v>
      </c>
      <c r="BI31" s="217">
        <f>COUNTIFS('Отчет РПЗ(ПЗ)_ПЗИП'!$G:$G,Справочно!$C15,'Отчет РПЗ(ПЗ)_ПЗИП'!$AO:$AO,10,'Отчет РПЗ(ПЗ)_ПЗИП'!$AG:$AG,"&gt;0")</f>
        <v>0</v>
      </c>
      <c r="BJ31" s="504">
        <f>ПП!AF19</f>
        <v>0</v>
      </c>
      <c r="BK31" s="447">
        <f>SUMIFS('Отчет РПЗ(ПЗ)_ПЗИП'!$AG:$AG,'Отчет РПЗ(ПЗ)_ПЗИП'!$G:$G,Справочно!$C15,'Отчет РПЗ(ПЗ)_ПЗИП'!$AO:$AO,10,'Отчет РПЗ(ПЗ)_ПЗИП'!$AG:$AG,"&gt;0")</f>
        <v>0</v>
      </c>
      <c r="BL31" s="44">
        <f>ПП!AG19</f>
        <v>0</v>
      </c>
      <c r="BM31" s="217">
        <f>COUNTIFS('Отчет РПЗ(ПЗ)_ПЗИП'!$G:$G,Справочно!$C15,'Отчет РПЗ(ПЗ)_ПЗИП'!$AO:$AO,11,'Отчет РПЗ(ПЗ)_ПЗИП'!$AG:$AG,"&gt;0")</f>
        <v>0</v>
      </c>
      <c r="BN31" s="504">
        <f>ПП!AH19</f>
        <v>0</v>
      </c>
      <c r="BO31" s="447">
        <f>SUMIFS('Отчет РПЗ(ПЗ)_ПЗИП'!$AG:$AG,'Отчет РПЗ(ПЗ)_ПЗИП'!$G:$G,Справочно!$C15,'Отчет РПЗ(ПЗ)_ПЗИП'!$AO:$AO,11,'Отчет РПЗ(ПЗ)_ПЗИП'!$AG:$AG,"&gt;0")</f>
        <v>0</v>
      </c>
      <c r="BP31" s="44">
        <f>ПП!AI19</f>
        <v>0</v>
      </c>
      <c r="BQ31" s="217">
        <f>COUNTIFS('Отчет РПЗ(ПЗ)_ПЗИП'!$G:$G,Справочно!$C15,'Отчет РПЗ(ПЗ)_ПЗИП'!$AO:$AO,12,'Отчет РПЗ(ПЗ)_ПЗИП'!$AG:$AG,"&gt;0")</f>
        <v>0</v>
      </c>
      <c r="BR31" s="504">
        <f>ПП!AJ19</f>
        <v>0</v>
      </c>
      <c r="BS31" s="448">
        <f>SUMIFS('Отчет РПЗ(ПЗ)_ПЗИП'!$AG:$AG,'Отчет РПЗ(ПЗ)_ПЗИП'!$G:$G,Справочно!$C15,'Отчет РПЗ(ПЗ)_ПЗИП'!$AO:$AO,12,'Отчет РПЗ(ПЗ)_ПЗИП'!$AG:$AG,"&gt;0")</f>
        <v>0</v>
      </c>
      <c r="BT31" s="211">
        <f>ПП!AK19</f>
        <v>0</v>
      </c>
      <c r="BU31" s="219">
        <f t="shared" si="13"/>
        <v>0</v>
      </c>
      <c r="BV31" s="503">
        <f t="shared" si="14"/>
        <v>0</v>
      </c>
      <c r="BW31" s="405">
        <f t="shared" si="15"/>
        <v>0</v>
      </c>
    </row>
    <row r="32" spans="2:75" ht="13.5" customHeight="1" thickBot="1" x14ac:dyDescent="0.25">
      <c r="B32" s="86" t="s">
        <v>105</v>
      </c>
      <c r="C32" s="96">
        <f>ПП!B20</f>
        <v>9</v>
      </c>
      <c r="D32" s="491">
        <f>ПП!C20</f>
        <v>4.8387096774193547E-2</v>
      </c>
      <c r="E32" s="66">
        <f>COUNTIFS('Отчет РПЗ(ПЗ)_ПЗИП'!$G:$G,Справочно!$C16,'Отчет РПЗ(ПЗ)_ПЗИП'!AG:AG, "&gt;0")</f>
        <v>0</v>
      </c>
      <c r="F32" s="492" t="e">
        <f t="shared" si="2"/>
        <v>#DIV/0!</v>
      </c>
      <c r="G32" s="493">
        <f>ПП!D20</f>
        <v>107727280.54000001</v>
      </c>
      <c r="H32" s="494">
        <f>ПП!E20</f>
        <v>0.26507380765999594</v>
      </c>
      <c r="I32" s="495">
        <f>SUMIF('Отчет РПЗ(ПЗ)_ПЗИП'!$G:$G,Справочно!$C16,'Отчет РПЗ(ПЗ)_ПЗИП'!$AG:$AG)</f>
        <v>0</v>
      </c>
      <c r="J32" s="492" t="e">
        <f t="shared" si="3"/>
        <v>#DIV/0!</v>
      </c>
      <c r="K32" s="64"/>
      <c r="L32" s="199">
        <f>ПП!G20</f>
        <v>0</v>
      </c>
      <c r="M32" s="184">
        <f>COUNTIFS('Отчет РПЗ(ПЗ)_ПЗИП'!$G:$G,Справочно!$C16,'Отчет РПЗ(ПЗ)_ПЗИП'!$AO:$AO,1,'Отчет РПЗ(ПЗ)_ПЗИП'!$AG:$AG,"&gt;0")</f>
        <v>0</v>
      </c>
      <c r="N32" s="504">
        <f>ПП!H20</f>
        <v>0</v>
      </c>
      <c r="O32" s="406">
        <f>SUMIFS('Отчет РПЗ(ПЗ)_ПЗИП'!$AG:$AG,'Отчет РПЗ(ПЗ)_ПЗИП'!$G:$G,Справочно!$C16,'Отчет РПЗ(ПЗ)_ПЗИП'!$AO:$AO,1,'Отчет РПЗ(ПЗ)_ПЗИП'!$AG:$AG,"&gt;0")</f>
        <v>0</v>
      </c>
      <c r="P32" s="44">
        <f>ПП!I20</f>
        <v>0</v>
      </c>
      <c r="Q32" s="184">
        <f>COUNTIFS('Отчет РПЗ(ПЗ)_ПЗИП'!$G:$G,Справочно!$C16,'Отчет РПЗ(ПЗ)_ПЗИП'!$AO:$AO,2,'Отчет РПЗ(ПЗ)_ПЗИП'!$AG:$AG,"&gt;0")</f>
        <v>0</v>
      </c>
      <c r="R32" s="504">
        <f>ПП!J20</f>
        <v>0</v>
      </c>
      <c r="S32" s="406">
        <f>SUMIFS('Отчет РПЗ(ПЗ)_ПЗИП'!$AG:$AG,'Отчет РПЗ(ПЗ)_ПЗИП'!$G:$G,Справочно!$C16,'Отчет РПЗ(ПЗ)_ПЗИП'!$AO:$AO,2,'Отчет РПЗ(ПЗ)_ПЗИП'!$AG:$AG,"&gt;0")</f>
        <v>0</v>
      </c>
      <c r="T32" s="44">
        <f>ПП!K20</f>
        <v>0</v>
      </c>
      <c r="U32" s="184">
        <f>COUNTIFS('Отчет РПЗ(ПЗ)_ПЗИП'!$G:$G,Справочно!$C16,'Отчет РПЗ(ПЗ)_ПЗИП'!$AO:$AO,3,'Отчет РПЗ(ПЗ)_ПЗИП'!$AG:$AG,"&gt;0")</f>
        <v>0</v>
      </c>
      <c r="V32" s="504">
        <f>ПП!L20</f>
        <v>0</v>
      </c>
      <c r="W32" s="442">
        <f>SUMIFS('Отчет РПЗ(ПЗ)_ПЗИП'!$AG:$AG,'Отчет РПЗ(ПЗ)_ПЗИП'!$G:$G,Справочно!$C16,'Отчет РПЗ(ПЗ)_ПЗИП'!$AO:$AO,3,'Отчет РПЗ(ПЗ)_ПЗИП'!$AG:$AG,"&gt;0")</f>
        <v>0</v>
      </c>
      <c r="X32" s="211">
        <f>ПП!M20</f>
        <v>0</v>
      </c>
      <c r="Y32" s="212">
        <f t="shared" si="4"/>
        <v>0</v>
      </c>
      <c r="Z32" s="503">
        <f t="shared" si="5"/>
        <v>0</v>
      </c>
      <c r="AA32" s="396">
        <f t="shared" si="6"/>
        <v>0</v>
      </c>
      <c r="AB32" s="199">
        <f>ПП!O20</f>
        <v>0</v>
      </c>
      <c r="AC32" s="223">
        <f>COUNTIFS('Отчет РПЗ(ПЗ)_ПЗИП'!$G:$G,Справочно!$C16,'Отчет РПЗ(ПЗ)_ПЗИП'!$AO:$AO,4,'Отчет РПЗ(ПЗ)_ПЗИП'!$AG:$AG,"&gt;0")</f>
        <v>0</v>
      </c>
      <c r="AD32" s="504">
        <f>ПП!P20</f>
        <v>0</v>
      </c>
      <c r="AE32" s="443">
        <f>SUMIFS('Отчет РПЗ(ПЗ)_ПЗИП'!$AG:$AG,'Отчет РПЗ(ПЗ)_ПЗИП'!$G:$G,Справочно!$C16,'Отчет РПЗ(ПЗ)_ПЗИП'!$AO:$AO,4,'Отчет РПЗ(ПЗ)_ПЗИП'!$AG:$AG,"&gt;0")</f>
        <v>0</v>
      </c>
      <c r="AF32" s="44">
        <f>ПП!Q20</f>
        <v>0</v>
      </c>
      <c r="AG32" s="223">
        <f>COUNTIFS('Отчет РПЗ(ПЗ)_ПЗИП'!$G:$G,Справочно!$C16,'Отчет РПЗ(ПЗ)_ПЗИП'!$AO:$AO,5,'Отчет РПЗ(ПЗ)_ПЗИП'!$AG:$AG,"&gt;0")</f>
        <v>0</v>
      </c>
      <c r="AH32" s="504">
        <f>ПП!R20</f>
        <v>0</v>
      </c>
      <c r="AI32" s="443">
        <f>SUMIFS('Отчет РПЗ(ПЗ)_ПЗИП'!$AG:$AG,'Отчет РПЗ(ПЗ)_ПЗИП'!$G:$G,Справочно!$C16,'Отчет РПЗ(ПЗ)_ПЗИП'!$AO:$AO,5,'Отчет РПЗ(ПЗ)_ПЗИП'!$AG:$AG,"&gt;0")</f>
        <v>0</v>
      </c>
      <c r="AJ32" s="44">
        <f>ПП!S20</f>
        <v>0</v>
      </c>
      <c r="AK32" s="223">
        <f>COUNTIFS('Отчет РПЗ(ПЗ)_ПЗИП'!$G:$G,Справочно!$C16,'Отчет РПЗ(ПЗ)_ПЗИП'!$AO:$AO,6,'Отчет РПЗ(ПЗ)_ПЗИП'!$AG:$AG,"&gt;0")</f>
        <v>0</v>
      </c>
      <c r="AL32" s="504">
        <f>ПП!T20</f>
        <v>0</v>
      </c>
      <c r="AM32" s="444">
        <f>SUMIFS('Отчет РПЗ(ПЗ)_ПЗИП'!$AG:$AG,'Отчет РПЗ(ПЗ)_ПЗИП'!$G:$G,Справочно!$C16,'Отчет РПЗ(ПЗ)_ПЗИП'!$AO:$AO,6,'Отчет РПЗ(ПЗ)_ПЗИП'!$AG:$AG,"&gt;0")</f>
        <v>0</v>
      </c>
      <c r="AN32" s="211">
        <f>ПП!U20</f>
        <v>0</v>
      </c>
      <c r="AO32" s="225">
        <f t="shared" si="7"/>
        <v>0</v>
      </c>
      <c r="AP32" s="503">
        <f t="shared" si="8"/>
        <v>0</v>
      </c>
      <c r="AQ32" s="399">
        <f t="shared" si="9"/>
        <v>0</v>
      </c>
      <c r="AR32" s="199">
        <f>ПП!W20</f>
        <v>0</v>
      </c>
      <c r="AS32" s="180">
        <f>COUNTIFS('Отчет РПЗ(ПЗ)_ПЗИП'!$G:$G,Справочно!$C16,'Отчет РПЗ(ПЗ)_ПЗИП'!$AO:$AO,7,'Отчет РПЗ(ПЗ)_ПЗИП'!$AG:$AG,"&gt;0")</f>
        <v>0</v>
      </c>
      <c r="AT32" s="504">
        <f>ПП!X20</f>
        <v>0</v>
      </c>
      <c r="AU32" s="445">
        <f>SUMIFS('Отчет РПЗ(ПЗ)_ПЗИП'!$AG:$AG,'Отчет РПЗ(ПЗ)_ПЗИП'!$G:$G,Справочно!$C16,'Отчет РПЗ(ПЗ)_ПЗИП'!$AO:$AO,7,'Отчет РПЗ(ПЗ)_ПЗИП'!$AG:$AG,"&gt;0")</f>
        <v>0</v>
      </c>
      <c r="AV32" s="44">
        <f>ПП!Y20</f>
        <v>0</v>
      </c>
      <c r="AW32" s="180">
        <f>COUNTIFS('Отчет РПЗ(ПЗ)_ПЗИП'!$G:$G,Справочно!$C16,'Отчет РПЗ(ПЗ)_ПЗИП'!$AO:$AO,8,'Отчет РПЗ(ПЗ)_ПЗИП'!$AG:$AG,"&gt;0")</f>
        <v>0</v>
      </c>
      <c r="AX32" s="504">
        <f>ПП!Z20</f>
        <v>0</v>
      </c>
      <c r="AY32" s="445">
        <f>SUMIFS('Отчет РПЗ(ПЗ)_ПЗИП'!$AG:$AG,'Отчет РПЗ(ПЗ)_ПЗИП'!$G:$G,Справочно!$C16,'Отчет РПЗ(ПЗ)_ПЗИП'!$AO:$AO,8,'Отчет РПЗ(ПЗ)_ПЗИП'!$AG:$AG,"&gt;0")</f>
        <v>0</v>
      </c>
      <c r="AZ32" s="44">
        <f>ПП!AA20</f>
        <v>0</v>
      </c>
      <c r="BA32" s="180">
        <f>COUNTIFS('Отчет РПЗ(ПЗ)_ПЗИП'!$G:$G,Справочно!$C16,'Отчет РПЗ(ПЗ)_ПЗИП'!$AO:$AO,9,'Отчет РПЗ(ПЗ)_ПЗИП'!$AG:$AG,"&gt;0")</f>
        <v>0</v>
      </c>
      <c r="BB32" s="504">
        <f>ПП!AB20</f>
        <v>0</v>
      </c>
      <c r="BC32" s="446">
        <f>SUMIFS('Отчет РПЗ(ПЗ)_ПЗИП'!$AG:$AG,'Отчет РПЗ(ПЗ)_ПЗИП'!$G:$G,Справочно!$C16,'Отчет РПЗ(ПЗ)_ПЗИП'!$AO:$AO,9,'Отчет РПЗ(ПЗ)_ПЗИП'!$AG:$AG,"&gt;0")</f>
        <v>0</v>
      </c>
      <c r="BD32" s="211">
        <f>ПП!AC20</f>
        <v>0</v>
      </c>
      <c r="BE32" s="220">
        <f t="shared" si="10"/>
        <v>0</v>
      </c>
      <c r="BF32" s="503">
        <f t="shared" si="11"/>
        <v>0</v>
      </c>
      <c r="BG32" s="402">
        <f t="shared" si="12"/>
        <v>0</v>
      </c>
      <c r="BH32" s="199">
        <f>ПП!AE20</f>
        <v>0</v>
      </c>
      <c r="BI32" s="217">
        <f>COUNTIFS('Отчет РПЗ(ПЗ)_ПЗИП'!$G:$G,Справочно!$C16,'Отчет РПЗ(ПЗ)_ПЗИП'!$AO:$AO,10,'Отчет РПЗ(ПЗ)_ПЗИП'!$AG:$AG,"&gt;0")</f>
        <v>0</v>
      </c>
      <c r="BJ32" s="504">
        <f>ПП!AF20</f>
        <v>0</v>
      </c>
      <c r="BK32" s="447">
        <f>SUMIFS('Отчет РПЗ(ПЗ)_ПЗИП'!$AG:$AG,'Отчет РПЗ(ПЗ)_ПЗИП'!$G:$G,Справочно!$C16,'Отчет РПЗ(ПЗ)_ПЗИП'!$AO:$AO,10,'Отчет РПЗ(ПЗ)_ПЗИП'!$AG:$AG,"&gt;0")</f>
        <v>0</v>
      </c>
      <c r="BL32" s="44">
        <f>ПП!AG20</f>
        <v>0</v>
      </c>
      <c r="BM32" s="217">
        <f>COUNTIFS('Отчет РПЗ(ПЗ)_ПЗИП'!$G:$G,Справочно!$C16,'Отчет РПЗ(ПЗ)_ПЗИП'!$AO:$AO,11,'Отчет РПЗ(ПЗ)_ПЗИП'!$AG:$AG,"&gt;0")</f>
        <v>0</v>
      </c>
      <c r="BN32" s="504">
        <f>ПП!AH20</f>
        <v>0</v>
      </c>
      <c r="BO32" s="447">
        <f>SUMIFS('Отчет РПЗ(ПЗ)_ПЗИП'!$AG:$AG,'Отчет РПЗ(ПЗ)_ПЗИП'!$G:$G,Справочно!$C16,'Отчет РПЗ(ПЗ)_ПЗИП'!$AO:$AO,11,'Отчет РПЗ(ПЗ)_ПЗИП'!$AG:$AG,"&gt;0")</f>
        <v>0</v>
      </c>
      <c r="BP32" s="44">
        <f>ПП!AI20</f>
        <v>0</v>
      </c>
      <c r="BQ32" s="217">
        <f>COUNTIFS('Отчет РПЗ(ПЗ)_ПЗИП'!$G:$G,Справочно!$C16,'Отчет РПЗ(ПЗ)_ПЗИП'!$AO:$AO,12,'Отчет РПЗ(ПЗ)_ПЗИП'!$AG:$AG,"&gt;0")</f>
        <v>0</v>
      </c>
      <c r="BR32" s="504">
        <f>ПП!AJ20</f>
        <v>0</v>
      </c>
      <c r="BS32" s="448">
        <f>SUMIFS('Отчет РПЗ(ПЗ)_ПЗИП'!$AG:$AG,'Отчет РПЗ(ПЗ)_ПЗИП'!$G:$G,Справочно!$C16,'Отчет РПЗ(ПЗ)_ПЗИП'!$AO:$AO,12,'Отчет РПЗ(ПЗ)_ПЗИП'!$AG:$AG,"&gt;0")</f>
        <v>0</v>
      </c>
      <c r="BT32" s="211">
        <f>ПП!AK20</f>
        <v>0</v>
      </c>
      <c r="BU32" s="219">
        <f t="shared" si="13"/>
        <v>0</v>
      </c>
      <c r="BV32" s="503">
        <f t="shared" si="14"/>
        <v>0</v>
      </c>
      <c r="BW32" s="405">
        <f t="shared" si="15"/>
        <v>0</v>
      </c>
    </row>
    <row r="33" spans="2:75" ht="12.75" customHeight="1" thickBot="1" x14ac:dyDescent="0.25">
      <c r="B33" s="86" t="s">
        <v>253</v>
      </c>
      <c r="C33" s="96">
        <f>ПП!B21</f>
        <v>0</v>
      </c>
      <c r="D33" s="491">
        <f>ПП!C21</f>
        <v>0</v>
      </c>
      <c r="E33" s="66">
        <f>COUNTIFS('Отчет РПЗ(ПЗ)_ПЗИП'!$G:$G,Справочно!$C17,'Отчет РПЗ(ПЗ)_ПЗИП'!AG:AG, "&gt;0")</f>
        <v>0</v>
      </c>
      <c r="F33" s="492" t="e">
        <f t="shared" si="2"/>
        <v>#DIV/0!</v>
      </c>
      <c r="G33" s="493">
        <f>ПП!D21</f>
        <v>0</v>
      </c>
      <c r="H33" s="494">
        <f>ПП!E21</f>
        <v>0</v>
      </c>
      <c r="I33" s="495">
        <f>SUMIF('Отчет РПЗ(ПЗ)_ПЗИП'!$G:$G,Справочно!$C17,'Отчет РПЗ(ПЗ)_ПЗИП'!$AG:$AG)</f>
        <v>0</v>
      </c>
      <c r="J33" s="492" t="e">
        <f t="shared" si="3"/>
        <v>#DIV/0!</v>
      </c>
      <c r="K33" s="64"/>
      <c r="L33" s="199">
        <f>ПП!G21</f>
        <v>0</v>
      </c>
      <c r="M33" s="184">
        <f>COUNTIFS('Отчет РПЗ(ПЗ)_ПЗИП'!$G:$G,Справочно!$C17,'Отчет РПЗ(ПЗ)_ПЗИП'!$AO:$AO,1,'Отчет РПЗ(ПЗ)_ПЗИП'!$AG:$AG,"&gt;0")</f>
        <v>0</v>
      </c>
      <c r="N33" s="504">
        <f>ПП!H21</f>
        <v>0</v>
      </c>
      <c r="O33" s="406">
        <f>SUMIFS('Отчет РПЗ(ПЗ)_ПЗИП'!$AG:$AG,'Отчет РПЗ(ПЗ)_ПЗИП'!$G:$G,Справочно!$C17,'Отчет РПЗ(ПЗ)_ПЗИП'!$AO:$AO,1,'Отчет РПЗ(ПЗ)_ПЗИП'!$AG:$AG,"&gt;0")</f>
        <v>0</v>
      </c>
      <c r="P33" s="44">
        <f>ПП!I21</f>
        <v>0</v>
      </c>
      <c r="Q33" s="184">
        <f>COUNTIFS('Отчет РПЗ(ПЗ)_ПЗИП'!$G:$G,Справочно!$C17,'Отчет РПЗ(ПЗ)_ПЗИП'!$AO:$AO,2,'Отчет РПЗ(ПЗ)_ПЗИП'!$AG:$AG,"&gt;0")</f>
        <v>0</v>
      </c>
      <c r="R33" s="504">
        <f>ПП!J21</f>
        <v>0</v>
      </c>
      <c r="S33" s="406">
        <f>SUMIFS('Отчет РПЗ(ПЗ)_ПЗИП'!$AG:$AG,'Отчет РПЗ(ПЗ)_ПЗИП'!$G:$G,Справочно!$C17,'Отчет РПЗ(ПЗ)_ПЗИП'!$AO:$AO,2,'Отчет РПЗ(ПЗ)_ПЗИП'!$AG:$AG,"&gt;0")</f>
        <v>0</v>
      </c>
      <c r="T33" s="44">
        <f>ПП!K21</f>
        <v>0</v>
      </c>
      <c r="U33" s="184">
        <f>COUNTIFS('Отчет РПЗ(ПЗ)_ПЗИП'!$G:$G,Справочно!$C17,'Отчет РПЗ(ПЗ)_ПЗИП'!$AO:$AO,3,'Отчет РПЗ(ПЗ)_ПЗИП'!$AG:$AG,"&gt;0")</f>
        <v>0</v>
      </c>
      <c r="V33" s="504">
        <f>ПП!L21</f>
        <v>0</v>
      </c>
      <c r="W33" s="442">
        <f>SUMIFS('Отчет РПЗ(ПЗ)_ПЗИП'!$AG:$AG,'Отчет РПЗ(ПЗ)_ПЗИП'!$G:$G,Справочно!$C17,'Отчет РПЗ(ПЗ)_ПЗИП'!$AO:$AO,3,'Отчет РПЗ(ПЗ)_ПЗИП'!$AG:$AG,"&gt;0")</f>
        <v>0</v>
      </c>
      <c r="X33" s="211">
        <f>ПП!M21</f>
        <v>0</v>
      </c>
      <c r="Y33" s="212">
        <f t="shared" si="4"/>
        <v>0</v>
      </c>
      <c r="Z33" s="503">
        <f t="shared" si="5"/>
        <v>0</v>
      </c>
      <c r="AA33" s="396">
        <f t="shared" si="6"/>
        <v>0</v>
      </c>
      <c r="AB33" s="199">
        <f>ПП!O21</f>
        <v>0</v>
      </c>
      <c r="AC33" s="223">
        <f>COUNTIFS('Отчет РПЗ(ПЗ)_ПЗИП'!$G:$G,Справочно!$C17,'Отчет РПЗ(ПЗ)_ПЗИП'!$AO:$AO,4,'Отчет РПЗ(ПЗ)_ПЗИП'!$AG:$AG,"&gt;0")</f>
        <v>0</v>
      </c>
      <c r="AD33" s="504">
        <f>ПП!P21</f>
        <v>0</v>
      </c>
      <c r="AE33" s="443">
        <f>SUMIFS('Отчет РПЗ(ПЗ)_ПЗИП'!$AG:$AG,'Отчет РПЗ(ПЗ)_ПЗИП'!$G:$G,Справочно!$C17,'Отчет РПЗ(ПЗ)_ПЗИП'!$AO:$AO,4,'Отчет РПЗ(ПЗ)_ПЗИП'!$AG:$AG,"&gt;0")</f>
        <v>0</v>
      </c>
      <c r="AF33" s="44">
        <f>ПП!Q21</f>
        <v>0</v>
      </c>
      <c r="AG33" s="223">
        <f>COUNTIFS('Отчет РПЗ(ПЗ)_ПЗИП'!$G:$G,Справочно!$C17,'Отчет РПЗ(ПЗ)_ПЗИП'!$AO:$AO,5,'Отчет РПЗ(ПЗ)_ПЗИП'!$AG:$AG,"&gt;0")</f>
        <v>0</v>
      </c>
      <c r="AH33" s="504">
        <f>ПП!R21</f>
        <v>0</v>
      </c>
      <c r="AI33" s="443">
        <f>SUMIFS('Отчет РПЗ(ПЗ)_ПЗИП'!$AG:$AG,'Отчет РПЗ(ПЗ)_ПЗИП'!$G:$G,Справочно!$C17,'Отчет РПЗ(ПЗ)_ПЗИП'!$AO:$AO,5,'Отчет РПЗ(ПЗ)_ПЗИП'!$AG:$AG,"&gt;0")</f>
        <v>0</v>
      </c>
      <c r="AJ33" s="44">
        <f>ПП!S21</f>
        <v>0</v>
      </c>
      <c r="AK33" s="223">
        <f>COUNTIFS('Отчет РПЗ(ПЗ)_ПЗИП'!$G:$G,Справочно!$C17,'Отчет РПЗ(ПЗ)_ПЗИП'!$AO:$AO,6,'Отчет РПЗ(ПЗ)_ПЗИП'!$AG:$AG,"&gt;0")</f>
        <v>0</v>
      </c>
      <c r="AL33" s="504">
        <f>ПП!T21</f>
        <v>0</v>
      </c>
      <c r="AM33" s="444">
        <f>SUMIFS('Отчет РПЗ(ПЗ)_ПЗИП'!$AG:$AG,'Отчет РПЗ(ПЗ)_ПЗИП'!$G:$G,Справочно!$C17,'Отчет РПЗ(ПЗ)_ПЗИП'!$AO:$AO,6,'Отчет РПЗ(ПЗ)_ПЗИП'!$AG:$AG,"&gt;0")</f>
        <v>0</v>
      </c>
      <c r="AN33" s="211">
        <f>ПП!U21</f>
        <v>0</v>
      </c>
      <c r="AO33" s="225">
        <f t="shared" si="7"/>
        <v>0</v>
      </c>
      <c r="AP33" s="503">
        <f t="shared" si="8"/>
        <v>0</v>
      </c>
      <c r="AQ33" s="399">
        <f t="shared" si="9"/>
        <v>0</v>
      </c>
      <c r="AR33" s="199">
        <f>ПП!W21</f>
        <v>0</v>
      </c>
      <c r="AS33" s="180">
        <f>COUNTIFS('Отчет РПЗ(ПЗ)_ПЗИП'!$G:$G,Справочно!$C17,'Отчет РПЗ(ПЗ)_ПЗИП'!$AO:$AO,7,'Отчет РПЗ(ПЗ)_ПЗИП'!$AG:$AG,"&gt;0")</f>
        <v>0</v>
      </c>
      <c r="AT33" s="504">
        <f>ПП!X21</f>
        <v>0</v>
      </c>
      <c r="AU33" s="445">
        <f>SUMIFS('Отчет РПЗ(ПЗ)_ПЗИП'!$AG:$AG,'Отчет РПЗ(ПЗ)_ПЗИП'!$G:$G,Справочно!$C17,'Отчет РПЗ(ПЗ)_ПЗИП'!$AO:$AO,7,'Отчет РПЗ(ПЗ)_ПЗИП'!$AG:$AG,"&gt;0")</f>
        <v>0</v>
      </c>
      <c r="AV33" s="44">
        <f>ПП!Y21</f>
        <v>0</v>
      </c>
      <c r="AW33" s="180">
        <f>COUNTIFS('Отчет РПЗ(ПЗ)_ПЗИП'!$G:$G,Справочно!$C17,'Отчет РПЗ(ПЗ)_ПЗИП'!$AO:$AO,8,'Отчет РПЗ(ПЗ)_ПЗИП'!$AG:$AG,"&gt;0")</f>
        <v>0</v>
      </c>
      <c r="AX33" s="504">
        <f>ПП!Z21</f>
        <v>0</v>
      </c>
      <c r="AY33" s="445">
        <f>SUMIFS('Отчет РПЗ(ПЗ)_ПЗИП'!$AG:$AG,'Отчет РПЗ(ПЗ)_ПЗИП'!$G:$G,Справочно!$C17,'Отчет РПЗ(ПЗ)_ПЗИП'!$AO:$AO,8,'Отчет РПЗ(ПЗ)_ПЗИП'!$AG:$AG,"&gt;0")</f>
        <v>0</v>
      </c>
      <c r="AZ33" s="44">
        <f>ПП!AA21</f>
        <v>0</v>
      </c>
      <c r="BA33" s="180">
        <f>COUNTIFS('Отчет РПЗ(ПЗ)_ПЗИП'!$G:$G,Справочно!$C17,'Отчет РПЗ(ПЗ)_ПЗИП'!$AO:$AO,9,'Отчет РПЗ(ПЗ)_ПЗИП'!$AG:$AG,"&gt;0")</f>
        <v>0</v>
      </c>
      <c r="BB33" s="504">
        <f>ПП!AB21</f>
        <v>0</v>
      </c>
      <c r="BC33" s="446">
        <f>SUMIFS('Отчет РПЗ(ПЗ)_ПЗИП'!$AG:$AG,'Отчет РПЗ(ПЗ)_ПЗИП'!$G:$G,Справочно!$C17,'Отчет РПЗ(ПЗ)_ПЗИП'!$AO:$AO,9,'Отчет РПЗ(ПЗ)_ПЗИП'!$AG:$AG,"&gt;0")</f>
        <v>0</v>
      </c>
      <c r="BD33" s="211">
        <f>ПП!AC21</f>
        <v>0</v>
      </c>
      <c r="BE33" s="220">
        <f t="shared" si="10"/>
        <v>0</v>
      </c>
      <c r="BF33" s="503">
        <f t="shared" si="11"/>
        <v>0</v>
      </c>
      <c r="BG33" s="402">
        <f t="shared" si="12"/>
        <v>0</v>
      </c>
      <c r="BH33" s="199">
        <f>ПП!AE21</f>
        <v>0</v>
      </c>
      <c r="BI33" s="217">
        <f>COUNTIFS('Отчет РПЗ(ПЗ)_ПЗИП'!$G:$G,Справочно!$C17,'Отчет РПЗ(ПЗ)_ПЗИП'!$AO:$AO,10,'Отчет РПЗ(ПЗ)_ПЗИП'!$AG:$AG,"&gt;0")</f>
        <v>0</v>
      </c>
      <c r="BJ33" s="504">
        <f>ПП!AF21</f>
        <v>0</v>
      </c>
      <c r="BK33" s="447">
        <f>SUMIFS('Отчет РПЗ(ПЗ)_ПЗИП'!$AG:$AG,'Отчет РПЗ(ПЗ)_ПЗИП'!$G:$G,Справочно!$C17,'Отчет РПЗ(ПЗ)_ПЗИП'!$AO:$AO,10,'Отчет РПЗ(ПЗ)_ПЗИП'!$AG:$AG,"&gt;0")</f>
        <v>0</v>
      </c>
      <c r="BL33" s="44">
        <f>ПП!AG21</f>
        <v>0</v>
      </c>
      <c r="BM33" s="217">
        <f>COUNTIFS('Отчет РПЗ(ПЗ)_ПЗИП'!$G:$G,Справочно!$C17,'Отчет РПЗ(ПЗ)_ПЗИП'!$AO:$AO,11,'Отчет РПЗ(ПЗ)_ПЗИП'!$AG:$AG,"&gt;0")</f>
        <v>0</v>
      </c>
      <c r="BN33" s="504">
        <f>ПП!AH21</f>
        <v>0</v>
      </c>
      <c r="BO33" s="447">
        <f>SUMIFS('Отчет РПЗ(ПЗ)_ПЗИП'!$AG:$AG,'Отчет РПЗ(ПЗ)_ПЗИП'!$G:$G,Справочно!$C17,'Отчет РПЗ(ПЗ)_ПЗИП'!$AO:$AO,11,'Отчет РПЗ(ПЗ)_ПЗИП'!$AG:$AG,"&gt;0")</f>
        <v>0</v>
      </c>
      <c r="BP33" s="44">
        <f>ПП!AI21</f>
        <v>0</v>
      </c>
      <c r="BQ33" s="217">
        <f>COUNTIFS('Отчет РПЗ(ПЗ)_ПЗИП'!$G:$G,Справочно!$C17,'Отчет РПЗ(ПЗ)_ПЗИП'!$AO:$AO,12,'Отчет РПЗ(ПЗ)_ПЗИП'!$AG:$AG,"&gt;0")</f>
        <v>0</v>
      </c>
      <c r="BR33" s="504">
        <f>ПП!AJ21</f>
        <v>0</v>
      </c>
      <c r="BS33" s="448">
        <f>SUMIFS('Отчет РПЗ(ПЗ)_ПЗИП'!$AG:$AG,'Отчет РПЗ(ПЗ)_ПЗИП'!$G:$G,Справочно!$C17,'Отчет РПЗ(ПЗ)_ПЗИП'!$AO:$AO,12,'Отчет РПЗ(ПЗ)_ПЗИП'!$AG:$AG,"&gt;0")</f>
        <v>0</v>
      </c>
      <c r="BT33" s="211">
        <f>ПП!AK21</f>
        <v>0</v>
      </c>
      <c r="BU33" s="219">
        <f t="shared" si="13"/>
        <v>0</v>
      </c>
      <c r="BV33" s="503">
        <f t="shared" si="14"/>
        <v>0</v>
      </c>
      <c r="BW33" s="405">
        <f t="shared" si="15"/>
        <v>0</v>
      </c>
    </row>
    <row r="34" spans="2:75" ht="13.5" thickBot="1" x14ac:dyDescent="0.25">
      <c r="B34" s="86" t="s">
        <v>107</v>
      </c>
      <c r="C34" s="96">
        <f>ПП!B22</f>
        <v>14</v>
      </c>
      <c r="D34" s="491">
        <f>ПП!C22</f>
        <v>7.5268817204301078E-2</v>
      </c>
      <c r="E34" s="66">
        <f>COUNTIFS('Отчет РПЗ(ПЗ)_ПЗИП'!$G:$G,Справочно!$C18,'Отчет РПЗ(ПЗ)_ПЗИП'!AG:AG, "&gt;0")</f>
        <v>0</v>
      </c>
      <c r="F34" s="492" t="e">
        <f t="shared" si="2"/>
        <v>#DIV/0!</v>
      </c>
      <c r="G34" s="493">
        <f>ПП!D22</f>
        <v>14803600</v>
      </c>
      <c r="H34" s="494">
        <f>ПП!E22</f>
        <v>3.6425746564896215E-2</v>
      </c>
      <c r="I34" s="495">
        <f>SUMIF('Отчет РПЗ(ПЗ)_ПЗИП'!$G:$G,Справочно!$C18,'Отчет РПЗ(ПЗ)_ПЗИП'!$AG:$AG)</f>
        <v>0</v>
      </c>
      <c r="J34" s="492" t="e">
        <f t="shared" si="3"/>
        <v>#DIV/0!</v>
      </c>
      <c r="K34" s="64"/>
      <c r="L34" s="199">
        <f>ПП!G22</f>
        <v>0</v>
      </c>
      <c r="M34" s="184">
        <f>COUNTIFS('Отчет РПЗ(ПЗ)_ПЗИП'!$G:$G,Справочно!$C18,'Отчет РПЗ(ПЗ)_ПЗИП'!$AO:$AO,1,'Отчет РПЗ(ПЗ)_ПЗИП'!$AG:$AG,"&gt;0")</f>
        <v>0</v>
      </c>
      <c r="N34" s="504">
        <f>ПП!H22</f>
        <v>0</v>
      </c>
      <c r="O34" s="406">
        <f>SUMIFS('Отчет РПЗ(ПЗ)_ПЗИП'!$AG:$AG,'Отчет РПЗ(ПЗ)_ПЗИП'!$G:$G,Справочно!$C18,'Отчет РПЗ(ПЗ)_ПЗИП'!$AO:$AO,1,'Отчет РПЗ(ПЗ)_ПЗИП'!$AG:$AG,"&gt;0")</f>
        <v>0</v>
      </c>
      <c r="P34" s="44">
        <f>ПП!I22</f>
        <v>0</v>
      </c>
      <c r="Q34" s="184">
        <f>COUNTIFS('Отчет РПЗ(ПЗ)_ПЗИП'!$G:$G,Справочно!$C18,'Отчет РПЗ(ПЗ)_ПЗИП'!$AO:$AO,2,'Отчет РПЗ(ПЗ)_ПЗИП'!$AG:$AG,"&gt;0")</f>
        <v>0</v>
      </c>
      <c r="R34" s="504">
        <f>ПП!J22</f>
        <v>0</v>
      </c>
      <c r="S34" s="406">
        <f>SUMIFS('Отчет РПЗ(ПЗ)_ПЗИП'!$AG:$AG,'Отчет РПЗ(ПЗ)_ПЗИП'!$G:$G,Справочно!$C18,'Отчет РПЗ(ПЗ)_ПЗИП'!$AO:$AO,2,'Отчет РПЗ(ПЗ)_ПЗИП'!$AG:$AG,"&gt;0")</f>
        <v>0</v>
      </c>
      <c r="T34" s="44">
        <f>ПП!K22</f>
        <v>0</v>
      </c>
      <c r="U34" s="184">
        <f>COUNTIFS('Отчет РПЗ(ПЗ)_ПЗИП'!$G:$G,Справочно!$C18,'Отчет РПЗ(ПЗ)_ПЗИП'!$AO:$AO,3,'Отчет РПЗ(ПЗ)_ПЗИП'!$AG:$AG,"&gt;0")</f>
        <v>0</v>
      </c>
      <c r="V34" s="504">
        <f>ПП!L22</f>
        <v>0</v>
      </c>
      <c r="W34" s="442">
        <f>SUMIFS('Отчет РПЗ(ПЗ)_ПЗИП'!$AG:$AG,'Отчет РПЗ(ПЗ)_ПЗИП'!$G:$G,Справочно!$C18,'Отчет РПЗ(ПЗ)_ПЗИП'!$AO:$AO,3,'Отчет РПЗ(ПЗ)_ПЗИП'!$AG:$AG,"&gt;0")</f>
        <v>0</v>
      </c>
      <c r="X34" s="211">
        <f>ПП!M22</f>
        <v>0</v>
      </c>
      <c r="Y34" s="212">
        <f t="shared" si="4"/>
        <v>0</v>
      </c>
      <c r="Z34" s="503">
        <f t="shared" si="5"/>
        <v>0</v>
      </c>
      <c r="AA34" s="396">
        <f t="shared" si="6"/>
        <v>0</v>
      </c>
      <c r="AB34" s="199">
        <f>ПП!O22</f>
        <v>0</v>
      </c>
      <c r="AC34" s="223">
        <f>COUNTIFS('Отчет РПЗ(ПЗ)_ПЗИП'!$G:$G,Справочно!$C18,'Отчет РПЗ(ПЗ)_ПЗИП'!$AO:$AO,4,'Отчет РПЗ(ПЗ)_ПЗИП'!$AG:$AG,"&gt;0")</f>
        <v>0</v>
      </c>
      <c r="AD34" s="504">
        <f>ПП!P22</f>
        <v>0</v>
      </c>
      <c r="AE34" s="443">
        <f>SUMIFS('Отчет РПЗ(ПЗ)_ПЗИП'!$AG:$AG,'Отчет РПЗ(ПЗ)_ПЗИП'!$G:$G,Справочно!$C18,'Отчет РПЗ(ПЗ)_ПЗИП'!$AO:$AO,4,'Отчет РПЗ(ПЗ)_ПЗИП'!$AG:$AG,"&gt;0")</f>
        <v>0</v>
      </c>
      <c r="AF34" s="44">
        <f>ПП!Q22</f>
        <v>0</v>
      </c>
      <c r="AG34" s="223">
        <f>COUNTIFS('Отчет РПЗ(ПЗ)_ПЗИП'!$G:$G,Справочно!$C18,'Отчет РПЗ(ПЗ)_ПЗИП'!$AO:$AO,5,'Отчет РПЗ(ПЗ)_ПЗИП'!$AG:$AG,"&gt;0")</f>
        <v>0</v>
      </c>
      <c r="AH34" s="504">
        <f>ПП!R22</f>
        <v>0</v>
      </c>
      <c r="AI34" s="443">
        <f>SUMIFS('Отчет РПЗ(ПЗ)_ПЗИП'!$AG:$AG,'Отчет РПЗ(ПЗ)_ПЗИП'!$G:$G,Справочно!$C18,'Отчет РПЗ(ПЗ)_ПЗИП'!$AO:$AO,5,'Отчет РПЗ(ПЗ)_ПЗИП'!$AG:$AG,"&gt;0")</f>
        <v>0</v>
      </c>
      <c r="AJ34" s="44">
        <f>ПП!S22</f>
        <v>0</v>
      </c>
      <c r="AK34" s="223">
        <f>COUNTIFS('Отчет РПЗ(ПЗ)_ПЗИП'!$G:$G,Справочно!$C18,'Отчет РПЗ(ПЗ)_ПЗИП'!$AO:$AO,6,'Отчет РПЗ(ПЗ)_ПЗИП'!$AG:$AG,"&gt;0")</f>
        <v>0</v>
      </c>
      <c r="AL34" s="504">
        <f>ПП!T22</f>
        <v>0</v>
      </c>
      <c r="AM34" s="444">
        <f>SUMIFS('Отчет РПЗ(ПЗ)_ПЗИП'!$AG:$AG,'Отчет РПЗ(ПЗ)_ПЗИП'!$G:$G,Справочно!$C18,'Отчет РПЗ(ПЗ)_ПЗИП'!$AO:$AO,6,'Отчет РПЗ(ПЗ)_ПЗИП'!$AG:$AG,"&gt;0")</f>
        <v>0</v>
      </c>
      <c r="AN34" s="211">
        <f>ПП!U22</f>
        <v>0</v>
      </c>
      <c r="AO34" s="225">
        <f t="shared" si="7"/>
        <v>0</v>
      </c>
      <c r="AP34" s="503">
        <f t="shared" si="8"/>
        <v>0</v>
      </c>
      <c r="AQ34" s="399">
        <f t="shared" si="9"/>
        <v>0</v>
      </c>
      <c r="AR34" s="199">
        <f>ПП!W22</f>
        <v>0</v>
      </c>
      <c r="AS34" s="180">
        <f>COUNTIFS('Отчет РПЗ(ПЗ)_ПЗИП'!$G:$G,Справочно!$C18,'Отчет РПЗ(ПЗ)_ПЗИП'!$AO:$AO,7,'Отчет РПЗ(ПЗ)_ПЗИП'!$AG:$AG,"&gt;0")</f>
        <v>0</v>
      </c>
      <c r="AT34" s="504">
        <f>ПП!X22</f>
        <v>0</v>
      </c>
      <c r="AU34" s="445">
        <f>SUMIFS('Отчет РПЗ(ПЗ)_ПЗИП'!$AG:$AG,'Отчет РПЗ(ПЗ)_ПЗИП'!$G:$G,Справочно!$C18,'Отчет РПЗ(ПЗ)_ПЗИП'!$AO:$AO,7,'Отчет РПЗ(ПЗ)_ПЗИП'!$AG:$AG,"&gt;0")</f>
        <v>0</v>
      </c>
      <c r="AV34" s="44">
        <f>ПП!Y22</f>
        <v>0</v>
      </c>
      <c r="AW34" s="180">
        <f>COUNTIFS('Отчет РПЗ(ПЗ)_ПЗИП'!$G:$G,Справочно!$C18,'Отчет РПЗ(ПЗ)_ПЗИП'!$AO:$AO,8,'Отчет РПЗ(ПЗ)_ПЗИП'!$AG:$AG,"&gt;0")</f>
        <v>0</v>
      </c>
      <c r="AX34" s="504">
        <f>ПП!Z22</f>
        <v>0</v>
      </c>
      <c r="AY34" s="445">
        <f>SUMIFS('Отчет РПЗ(ПЗ)_ПЗИП'!$AG:$AG,'Отчет РПЗ(ПЗ)_ПЗИП'!$G:$G,Справочно!$C18,'Отчет РПЗ(ПЗ)_ПЗИП'!$AO:$AO,8,'Отчет РПЗ(ПЗ)_ПЗИП'!$AG:$AG,"&gt;0")</f>
        <v>0</v>
      </c>
      <c r="AZ34" s="44">
        <f>ПП!AA22</f>
        <v>0</v>
      </c>
      <c r="BA34" s="180">
        <f>COUNTIFS('Отчет РПЗ(ПЗ)_ПЗИП'!$G:$G,Справочно!$C18,'Отчет РПЗ(ПЗ)_ПЗИП'!$AO:$AO,9,'Отчет РПЗ(ПЗ)_ПЗИП'!$AG:$AG,"&gt;0")</f>
        <v>0</v>
      </c>
      <c r="BB34" s="504">
        <f>ПП!AB22</f>
        <v>0</v>
      </c>
      <c r="BC34" s="446">
        <f>SUMIFS('Отчет РПЗ(ПЗ)_ПЗИП'!$AG:$AG,'Отчет РПЗ(ПЗ)_ПЗИП'!$G:$G,Справочно!$C18,'Отчет РПЗ(ПЗ)_ПЗИП'!$AO:$AO,9,'Отчет РПЗ(ПЗ)_ПЗИП'!$AG:$AG,"&gt;0")</f>
        <v>0</v>
      </c>
      <c r="BD34" s="211">
        <f>ПП!AC22</f>
        <v>0</v>
      </c>
      <c r="BE34" s="220">
        <f t="shared" si="10"/>
        <v>0</v>
      </c>
      <c r="BF34" s="503">
        <f t="shared" si="11"/>
        <v>0</v>
      </c>
      <c r="BG34" s="402">
        <f t="shared" si="12"/>
        <v>0</v>
      </c>
      <c r="BH34" s="199">
        <f>ПП!AE22</f>
        <v>0</v>
      </c>
      <c r="BI34" s="217">
        <f>COUNTIFS('Отчет РПЗ(ПЗ)_ПЗИП'!$G:$G,Справочно!$C18,'Отчет РПЗ(ПЗ)_ПЗИП'!$AO:$AO,10,'Отчет РПЗ(ПЗ)_ПЗИП'!$AG:$AG,"&gt;0")</f>
        <v>0</v>
      </c>
      <c r="BJ34" s="504">
        <f>ПП!AF22</f>
        <v>0</v>
      </c>
      <c r="BK34" s="447">
        <f>SUMIFS('Отчет РПЗ(ПЗ)_ПЗИП'!$AG:$AG,'Отчет РПЗ(ПЗ)_ПЗИП'!$G:$G,Справочно!$C18,'Отчет РПЗ(ПЗ)_ПЗИП'!$AO:$AO,10,'Отчет РПЗ(ПЗ)_ПЗИП'!$AG:$AG,"&gt;0")</f>
        <v>0</v>
      </c>
      <c r="BL34" s="44">
        <f>ПП!AG22</f>
        <v>0</v>
      </c>
      <c r="BM34" s="217">
        <f>COUNTIFS('Отчет РПЗ(ПЗ)_ПЗИП'!$G:$G,Справочно!$C18,'Отчет РПЗ(ПЗ)_ПЗИП'!$AO:$AO,11,'Отчет РПЗ(ПЗ)_ПЗИП'!$AG:$AG,"&gt;0")</f>
        <v>0</v>
      </c>
      <c r="BN34" s="504">
        <f>ПП!AH22</f>
        <v>0</v>
      </c>
      <c r="BO34" s="447">
        <f>SUMIFS('Отчет РПЗ(ПЗ)_ПЗИП'!$AG:$AG,'Отчет РПЗ(ПЗ)_ПЗИП'!$G:$G,Справочно!$C18,'Отчет РПЗ(ПЗ)_ПЗИП'!$AO:$AO,11,'Отчет РПЗ(ПЗ)_ПЗИП'!$AG:$AG,"&gt;0")</f>
        <v>0</v>
      </c>
      <c r="BP34" s="44">
        <f>ПП!AI22</f>
        <v>0</v>
      </c>
      <c r="BQ34" s="217">
        <f>COUNTIFS('Отчет РПЗ(ПЗ)_ПЗИП'!$G:$G,Справочно!$C18,'Отчет РПЗ(ПЗ)_ПЗИП'!$AO:$AO,12,'Отчет РПЗ(ПЗ)_ПЗИП'!$AG:$AG,"&gt;0")</f>
        <v>0</v>
      </c>
      <c r="BR34" s="504">
        <f>ПП!AJ22</f>
        <v>0</v>
      </c>
      <c r="BS34" s="448">
        <f>SUMIFS('Отчет РПЗ(ПЗ)_ПЗИП'!$AG:$AG,'Отчет РПЗ(ПЗ)_ПЗИП'!$G:$G,Справочно!$C18,'Отчет РПЗ(ПЗ)_ПЗИП'!$AO:$AO,12,'Отчет РПЗ(ПЗ)_ПЗИП'!$AG:$AG,"&gt;0")</f>
        <v>0</v>
      </c>
      <c r="BT34" s="211">
        <f>ПП!AK22</f>
        <v>0</v>
      </c>
      <c r="BU34" s="219">
        <f t="shared" si="13"/>
        <v>0</v>
      </c>
      <c r="BV34" s="503">
        <f t="shared" si="14"/>
        <v>0</v>
      </c>
      <c r="BW34" s="405">
        <f t="shared" si="15"/>
        <v>0</v>
      </c>
    </row>
    <row r="35" spans="2:75" ht="13.5" thickBot="1" x14ac:dyDescent="0.25">
      <c r="B35" s="86" t="s">
        <v>254</v>
      </c>
      <c r="C35" s="96">
        <f>ПП!B23</f>
        <v>0</v>
      </c>
      <c r="D35" s="491">
        <f>ПП!C23</f>
        <v>0</v>
      </c>
      <c r="E35" s="66">
        <f>COUNTIFS('Отчет РПЗ(ПЗ)_ПЗИП'!$G:$G,Справочно!$C19,'Отчет РПЗ(ПЗ)_ПЗИП'!AG:AG, "&gt;0")</f>
        <v>0</v>
      </c>
      <c r="F35" s="492" t="e">
        <f t="shared" si="2"/>
        <v>#DIV/0!</v>
      </c>
      <c r="G35" s="493">
        <f>ПП!D23</f>
        <v>0</v>
      </c>
      <c r="H35" s="494">
        <f>ПП!E23</f>
        <v>0</v>
      </c>
      <c r="I35" s="495">
        <f>SUMIF('Отчет РПЗ(ПЗ)_ПЗИП'!$G:$G,Справочно!$C19,'Отчет РПЗ(ПЗ)_ПЗИП'!$AG:$AG)</f>
        <v>0</v>
      </c>
      <c r="J35" s="492" t="e">
        <f t="shared" si="3"/>
        <v>#DIV/0!</v>
      </c>
      <c r="K35" s="64"/>
      <c r="L35" s="199">
        <f>ПП!G23</f>
        <v>0</v>
      </c>
      <c r="M35" s="184">
        <f>COUNTIFS('Отчет РПЗ(ПЗ)_ПЗИП'!$G:$G,Справочно!$C19,'Отчет РПЗ(ПЗ)_ПЗИП'!$AO:$AO,1,'Отчет РПЗ(ПЗ)_ПЗИП'!$AG:$AG,"&gt;0")</f>
        <v>0</v>
      </c>
      <c r="N35" s="504">
        <f>ПП!H23</f>
        <v>0</v>
      </c>
      <c r="O35" s="406">
        <f>SUMIFS('Отчет РПЗ(ПЗ)_ПЗИП'!$AG:$AG,'Отчет РПЗ(ПЗ)_ПЗИП'!$G:$G,Справочно!$C19,'Отчет РПЗ(ПЗ)_ПЗИП'!$AO:$AO,1,'Отчет РПЗ(ПЗ)_ПЗИП'!$AG:$AG,"&gt;0")</f>
        <v>0</v>
      </c>
      <c r="P35" s="44">
        <f>ПП!I23</f>
        <v>0</v>
      </c>
      <c r="Q35" s="184">
        <f>COUNTIFS('Отчет РПЗ(ПЗ)_ПЗИП'!$G:$G,Справочно!$C19,'Отчет РПЗ(ПЗ)_ПЗИП'!$AO:$AO,2,'Отчет РПЗ(ПЗ)_ПЗИП'!$AG:$AG,"&gt;0")</f>
        <v>0</v>
      </c>
      <c r="R35" s="504">
        <f>ПП!J23</f>
        <v>0</v>
      </c>
      <c r="S35" s="406">
        <f>SUMIFS('Отчет РПЗ(ПЗ)_ПЗИП'!$AG:$AG,'Отчет РПЗ(ПЗ)_ПЗИП'!$G:$G,Справочно!$C19,'Отчет РПЗ(ПЗ)_ПЗИП'!$AO:$AO,2,'Отчет РПЗ(ПЗ)_ПЗИП'!$AG:$AG,"&gt;0")</f>
        <v>0</v>
      </c>
      <c r="T35" s="44">
        <f>ПП!K23</f>
        <v>0</v>
      </c>
      <c r="U35" s="184">
        <f>COUNTIFS('Отчет РПЗ(ПЗ)_ПЗИП'!$G:$G,Справочно!$C19,'Отчет РПЗ(ПЗ)_ПЗИП'!$AO:$AO,3,'Отчет РПЗ(ПЗ)_ПЗИП'!$AG:$AG,"&gt;0")</f>
        <v>0</v>
      </c>
      <c r="V35" s="504">
        <f>ПП!L23</f>
        <v>0</v>
      </c>
      <c r="W35" s="442">
        <f>SUMIFS('Отчет РПЗ(ПЗ)_ПЗИП'!$AG:$AG,'Отчет РПЗ(ПЗ)_ПЗИП'!$G:$G,Справочно!$C19,'Отчет РПЗ(ПЗ)_ПЗИП'!$AO:$AO,3,'Отчет РПЗ(ПЗ)_ПЗИП'!$AG:$AG,"&gt;0")</f>
        <v>0</v>
      </c>
      <c r="X35" s="211">
        <f>ПП!M23</f>
        <v>0</v>
      </c>
      <c r="Y35" s="212">
        <f t="shared" si="4"/>
        <v>0</v>
      </c>
      <c r="Z35" s="503">
        <f t="shared" si="5"/>
        <v>0</v>
      </c>
      <c r="AA35" s="396">
        <f t="shared" si="6"/>
        <v>0</v>
      </c>
      <c r="AB35" s="199">
        <f>ПП!O23</f>
        <v>0</v>
      </c>
      <c r="AC35" s="223">
        <f>COUNTIFS('Отчет РПЗ(ПЗ)_ПЗИП'!$G:$G,Справочно!$C19,'Отчет РПЗ(ПЗ)_ПЗИП'!$AO:$AO,4,'Отчет РПЗ(ПЗ)_ПЗИП'!$AG:$AG,"&gt;0")</f>
        <v>0</v>
      </c>
      <c r="AD35" s="504">
        <f>ПП!P23</f>
        <v>0</v>
      </c>
      <c r="AE35" s="443">
        <f>SUMIFS('Отчет РПЗ(ПЗ)_ПЗИП'!$AG:$AG,'Отчет РПЗ(ПЗ)_ПЗИП'!$G:$G,Справочно!$C19,'Отчет РПЗ(ПЗ)_ПЗИП'!$AO:$AO,4,'Отчет РПЗ(ПЗ)_ПЗИП'!$AG:$AG,"&gt;0")</f>
        <v>0</v>
      </c>
      <c r="AF35" s="44">
        <f>ПП!Q23</f>
        <v>0</v>
      </c>
      <c r="AG35" s="223">
        <f>COUNTIFS('Отчет РПЗ(ПЗ)_ПЗИП'!$G:$G,Справочно!$C19,'Отчет РПЗ(ПЗ)_ПЗИП'!$AO:$AO,5,'Отчет РПЗ(ПЗ)_ПЗИП'!$AG:$AG,"&gt;0")</f>
        <v>0</v>
      </c>
      <c r="AH35" s="504">
        <f>ПП!R23</f>
        <v>0</v>
      </c>
      <c r="AI35" s="443">
        <f>SUMIFS('Отчет РПЗ(ПЗ)_ПЗИП'!$AG:$AG,'Отчет РПЗ(ПЗ)_ПЗИП'!$G:$G,Справочно!$C19,'Отчет РПЗ(ПЗ)_ПЗИП'!$AO:$AO,5,'Отчет РПЗ(ПЗ)_ПЗИП'!$AG:$AG,"&gt;0")</f>
        <v>0</v>
      </c>
      <c r="AJ35" s="44">
        <f>ПП!S23</f>
        <v>0</v>
      </c>
      <c r="AK35" s="223">
        <f>COUNTIFS('Отчет РПЗ(ПЗ)_ПЗИП'!$G:$G,Справочно!$C19,'Отчет РПЗ(ПЗ)_ПЗИП'!$AO:$AO,6,'Отчет РПЗ(ПЗ)_ПЗИП'!$AG:$AG,"&gt;0")</f>
        <v>0</v>
      </c>
      <c r="AL35" s="504">
        <f>ПП!T23</f>
        <v>0</v>
      </c>
      <c r="AM35" s="444">
        <f>SUMIFS('Отчет РПЗ(ПЗ)_ПЗИП'!$AG:$AG,'Отчет РПЗ(ПЗ)_ПЗИП'!$G:$G,Справочно!$C19,'Отчет РПЗ(ПЗ)_ПЗИП'!$AO:$AO,6,'Отчет РПЗ(ПЗ)_ПЗИП'!$AG:$AG,"&gt;0")</f>
        <v>0</v>
      </c>
      <c r="AN35" s="211">
        <f>ПП!U23</f>
        <v>0</v>
      </c>
      <c r="AO35" s="225">
        <f t="shared" si="7"/>
        <v>0</v>
      </c>
      <c r="AP35" s="503">
        <f t="shared" si="8"/>
        <v>0</v>
      </c>
      <c r="AQ35" s="399">
        <f t="shared" si="9"/>
        <v>0</v>
      </c>
      <c r="AR35" s="199">
        <f>ПП!W23</f>
        <v>0</v>
      </c>
      <c r="AS35" s="180">
        <f>COUNTIFS('Отчет РПЗ(ПЗ)_ПЗИП'!$G:$G,Справочно!$C19,'Отчет РПЗ(ПЗ)_ПЗИП'!$AO:$AO,7,'Отчет РПЗ(ПЗ)_ПЗИП'!$AG:$AG,"&gt;0")</f>
        <v>0</v>
      </c>
      <c r="AT35" s="504">
        <f>ПП!X23</f>
        <v>0</v>
      </c>
      <c r="AU35" s="445">
        <f>SUMIFS('Отчет РПЗ(ПЗ)_ПЗИП'!$AG:$AG,'Отчет РПЗ(ПЗ)_ПЗИП'!$G:$G,Справочно!$C19,'Отчет РПЗ(ПЗ)_ПЗИП'!$AO:$AO,7,'Отчет РПЗ(ПЗ)_ПЗИП'!$AG:$AG,"&gt;0")</f>
        <v>0</v>
      </c>
      <c r="AV35" s="44">
        <f>ПП!Y23</f>
        <v>0</v>
      </c>
      <c r="AW35" s="180">
        <f>COUNTIFS('Отчет РПЗ(ПЗ)_ПЗИП'!$G:$G,Справочно!$C19,'Отчет РПЗ(ПЗ)_ПЗИП'!$AO:$AO,8,'Отчет РПЗ(ПЗ)_ПЗИП'!$AG:$AG,"&gt;0")</f>
        <v>0</v>
      </c>
      <c r="AX35" s="504">
        <f>ПП!Z23</f>
        <v>0</v>
      </c>
      <c r="AY35" s="445">
        <f>SUMIFS('Отчет РПЗ(ПЗ)_ПЗИП'!$AG:$AG,'Отчет РПЗ(ПЗ)_ПЗИП'!$G:$G,Справочно!$C19,'Отчет РПЗ(ПЗ)_ПЗИП'!$AO:$AO,8,'Отчет РПЗ(ПЗ)_ПЗИП'!$AG:$AG,"&gt;0")</f>
        <v>0</v>
      </c>
      <c r="AZ35" s="44">
        <f>ПП!AA23</f>
        <v>0</v>
      </c>
      <c r="BA35" s="180">
        <f>COUNTIFS('Отчет РПЗ(ПЗ)_ПЗИП'!$G:$G,Справочно!$C19,'Отчет РПЗ(ПЗ)_ПЗИП'!$AO:$AO,9,'Отчет РПЗ(ПЗ)_ПЗИП'!$AG:$AG,"&gt;0")</f>
        <v>0</v>
      </c>
      <c r="BB35" s="504">
        <f>ПП!AB23</f>
        <v>0</v>
      </c>
      <c r="BC35" s="446">
        <f>SUMIFS('Отчет РПЗ(ПЗ)_ПЗИП'!$AG:$AG,'Отчет РПЗ(ПЗ)_ПЗИП'!$G:$G,Справочно!$C19,'Отчет РПЗ(ПЗ)_ПЗИП'!$AO:$AO,9,'Отчет РПЗ(ПЗ)_ПЗИП'!$AG:$AG,"&gt;0")</f>
        <v>0</v>
      </c>
      <c r="BD35" s="211">
        <f>ПП!AC23</f>
        <v>0</v>
      </c>
      <c r="BE35" s="220">
        <f t="shared" si="10"/>
        <v>0</v>
      </c>
      <c r="BF35" s="503">
        <f t="shared" si="11"/>
        <v>0</v>
      </c>
      <c r="BG35" s="402">
        <f t="shared" si="12"/>
        <v>0</v>
      </c>
      <c r="BH35" s="199">
        <f>ПП!AE23</f>
        <v>0</v>
      </c>
      <c r="BI35" s="217">
        <f>COUNTIFS('Отчет РПЗ(ПЗ)_ПЗИП'!$G:$G,Справочно!$C19,'Отчет РПЗ(ПЗ)_ПЗИП'!$AO:$AO,10,'Отчет РПЗ(ПЗ)_ПЗИП'!$AG:$AG,"&gt;0")</f>
        <v>0</v>
      </c>
      <c r="BJ35" s="504">
        <f>ПП!AF23</f>
        <v>0</v>
      </c>
      <c r="BK35" s="447">
        <f>SUMIFS('Отчет РПЗ(ПЗ)_ПЗИП'!$AG:$AG,'Отчет РПЗ(ПЗ)_ПЗИП'!$G:$G,Справочно!$C19,'Отчет РПЗ(ПЗ)_ПЗИП'!$AO:$AO,10,'Отчет РПЗ(ПЗ)_ПЗИП'!$AG:$AG,"&gt;0")</f>
        <v>0</v>
      </c>
      <c r="BL35" s="44">
        <f>ПП!AG23</f>
        <v>0</v>
      </c>
      <c r="BM35" s="217">
        <f>COUNTIFS('Отчет РПЗ(ПЗ)_ПЗИП'!$G:$G,Справочно!$C19,'Отчет РПЗ(ПЗ)_ПЗИП'!$AO:$AO,11,'Отчет РПЗ(ПЗ)_ПЗИП'!$AG:$AG,"&gt;0")</f>
        <v>0</v>
      </c>
      <c r="BN35" s="504">
        <f>ПП!AH23</f>
        <v>0</v>
      </c>
      <c r="BO35" s="447">
        <f>SUMIFS('Отчет РПЗ(ПЗ)_ПЗИП'!$AG:$AG,'Отчет РПЗ(ПЗ)_ПЗИП'!$G:$G,Справочно!$C19,'Отчет РПЗ(ПЗ)_ПЗИП'!$AO:$AO,11,'Отчет РПЗ(ПЗ)_ПЗИП'!$AG:$AG,"&gt;0")</f>
        <v>0</v>
      </c>
      <c r="BP35" s="44">
        <f>ПП!AI23</f>
        <v>0</v>
      </c>
      <c r="BQ35" s="217">
        <f>COUNTIFS('Отчет РПЗ(ПЗ)_ПЗИП'!$G:$G,Справочно!$C19,'Отчет РПЗ(ПЗ)_ПЗИП'!$AO:$AO,12,'Отчет РПЗ(ПЗ)_ПЗИП'!$AG:$AG,"&gt;0")</f>
        <v>0</v>
      </c>
      <c r="BR35" s="504">
        <f>ПП!AJ23</f>
        <v>0</v>
      </c>
      <c r="BS35" s="448">
        <f>SUMIFS('Отчет РПЗ(ПЗ)_ПЗИП'!$AG:$AG,'Отчет РПЗ(ПЗ)_ПЗИП'!$G:$G,Справочно!$C19,'Отчет РПЗ(ПЗ)_ПЗИП'!$AO:$AO,12,'Отчет РПЗ(ПЗ)_ПЗИП'!$AG:$AG,"&gt;0")</f>
        <v>0</v>
      </c>
      <c r="BT35" s="211">
        <f>ПП!AK23</f>
        <v>0</v>
      </c>
      <c r="BU35" s="219">
        <f t="shared" si="13"/>
        <v>0</v>
      </c>
      <c r="BV35" s="503">
        <f t="shared" si="14"/>
        <v>0</v>
      </c>
      <c r="BW35" s="405">
        <f t="shared" si="15"/>
        <v>0</v>
      </c>
    </row>
    <row r="36" spans="2:75" ht="13.5" thickBot="1" x14ac:dyDescent="0.25">
      <c r="B36" s="86" t="s">
        <v>109</v>
      </c>
      <c r="C36" s="96">
        <f>ПП!B24</f>
        <v>88</v>
      </c>
      <c r="D36" s="491">
        <f>ПП!C24</f>
        <v>0.4731182795698925</v>
      </c>
      <c r="E36" s="66">
        <f>COUNTIFS('Отчет РПЗ(ПЗ)_ПЗИП'!$G:$G,Справочно!$C20,'Отчет РПЗ(ПЗ)_ПЗИП'!AG:AG, "&gt;0")</f>
        <v>0</v>
      </c>
      <c r="F36" s="492" t="e">
        <f t="shared" si="2"/>
        <v>#DIV/0!</v>
      </c>
      <c r="G36" s="493">
        <f>ПП!D24</f>
        <v>160586551</v>
      </c>
      <c r="H36" s="494">
        <f>ПП!E24</f>
        <v>0.39513935856526661</v>
      </c>
      <c r="I36" s="495">
        <f>SUMIF('Отчет РПЗ(ПЗ)_ПЗИП'!$G:$G,Справочно!$C20,'Отчет РПЗ(ПЗ)_ПЗИП'!$AG:$AG)</f>
        <v>0</v>
      </c>
      <c r="J36" s="492" t="e">
        <f t="shared" si="3"/>
        <v>#DIV/0!</v>
      </c>
      <c r="K36" s="64"/>
      <c r="L36" s="199">
        <f>ПП!G24</f>
        <v>0</v>
      </c>
      <c r="M36" s="184">
        <f>COUNTIFS('Отчет РПЗ(ПЗ)_ПЗИП'!$G:$G,Справочно!$C20,'Отчет РПЗ(ПЗ)_ПЗИП'!$AO:$AO,1,'Отчет РПЗ(ПЗ)_ПЗИП'!$AG:$AG,"&gt;0")</f>
        <v>0</v>
      </c>
      <c r="N36" s="504">
        <f>ПП!H24</f>
        <v>0</v>
      </c>
      <c r="O36" s="406">
        <f>SUMIFS('Отчет РПЗ(ПЗ)_ПЗИП'!$AG:$AG,'Отчет РПЗ(ПЗ)_ПЗИП'!$G:$G,Справочно!$C20,'Отчет РПЗ(ПЗ)_ПЗИП'!$AO:$AO,1,'Отчет РПЗ(ПЗ)_ПЗИП'!$AG:$AG,"&gt;0")</f>
        <v>0</v>
      </c>
      <c r="P36" s="44">
        <f>ПП!I24</f>
        <v>0</v>
      </c>
      <c r="Q36" s="184">
        <f>COUNTIFS('Отчет РПЗ(ПЗ)_ПЗИП'!$G:$G,Справочно!$C20,'Отчет РПЗ(ПЗ)_ПЗИП'!$AO:$AO,2,'Отчет РПЗ(ПЗ)_ПЗИП'!$AG:$AG,"&gt;0")</f>
        <v>0</v>
      </c>
      <c r="R36" s="504">
        <f>ПП!J24</f>
        <v>0</v>
      </c>
      <c r="S36" s="406">
        <f>SUMIFS('Отчет РПЗ(ПЗ)_ПЗИП'!$AG:$AG,'Отчет РПЗ(ПЗ)_ПЗИП'!$G:$G,Справочно!$C20,'Отчет РПЗ(ПЗ)_ПЗИП'!$AO:$AO,2,'Отчет РПЗ(ПЗ)_ПЗИП'!$AG:$AG,"&gt;0")</f>
        <v>0</v>
      </c>
      <c r="T36" s="44">
        <f>ПП!K24</f>
        <v>0</v>
      </c>
      <c r="U36" s="184">
        <f>COUNTIFS('Отчет РПЗ(ПЗ)_ПЗИП'!$G:$G,Справочно!$C20,'Отчет РПЗ(ПЗ)_ПЗИП'!$AO:$AO,3,'Отчет РПЗ(ПЗ)_ПЗИП'!$AG:$AG,"&gt;0")</f>
        <v>0</v>
      </c>
      <c r="V36" s="504">
        <f>ПП!L24</f>
        <v>0</v>
      </c>
      <c r="W36" s="442">
        <f>SUMIFS('Отчет РПЗ(ПЗ)_ПЗИП'!$AG:$AG,'Отчет РПЗ(ПЗ)_ПЗИП'!$G:$G,Справочно!$C20,'Отчет РПЗ(ПЗ)_ПЗИП'!$AO:$AO,3,'Отчет РПЗ(ПЗ)_ПЗИП'!$AG:$AG,"&gt;0")</f>
        <v>0</v>
      </c>
      <c r="X36" s="211">
        <f>ПП!M24</f>
        <v>0</v>
      </c>
      <c r="Y36" s="212">
        <f t="shared" si="4"/>
        <v>0</v>
      </c>
      <c r="Z36" s="503">
        <f t="shared" si="5"/>
        <v>0</v>
      </c>
      <c r="AA36" s="396">
        <f t="shared" si="6"/>
        <v>0</v>
      </c>
      <c r="AB36" s="199">
        <f>ПП!O24</f>
        <v>0</v>
      </c>
      <c r="AC36" s="223">
        <f>COUNTIFS('Отчет РПЗ(ПЗ)_ПЗИП'!$G:$G,Справочно!$C20,'Отчет РПЗ(ПЗ)_ПЗИП'!$AO:$AO,4,'Отчет РПЗ(ПЗ)_ПЗИП'!$AG:$AG,"&gt;0")</f>
        <v>0</v>
      </c>
      <c r="AD36" s="504">
        <f>ПП!P24</f>
        <v>0</v>
      </c>
      <c r="AE36" s="443">
        <f>SUMIFS('Отчет РПЗ(ПЗ)_ПЗИП'!$AG:$AG,'Отчет РПЗ(ПЗ)_ПЗИП'!$G:$G,Справочно!$C20,'Отчет РПЗ(ПЗ)_ПЗИП'!$AO:$AO,4,'Отчет РПЗ(ПЗ)_ПЗИП'!$AG:$AG,"&gt;0")</f>
        <v>0</v>
      </c>
      <c r="AF36" s="44">
        <f>ПП!Q24</f>
        <v>0</v>
      </c>
      <c r="AG36" s="223">
        <f>COUNTIFS('Отчет РПЗ(ПЗ)_ПЗИП'!$G:$G,Справочно!$C20,'Отчет РПЗ(ПЗ)_ПЗИП'!$AO:$AO,5,'Отчет РПЗ(ПЗ)_ПЗИП'!$AG:$AG,"&gt;0")</f>
        <v>0</v>
      </c>
      <c r="AH36" s="504">
        <f>ПП!R24</f>
        <v>0</v>
      </c>
      <c r="AI36" s="443">
        <f>SUMIFS('Отчет РПЗ(ПЗ)_ПЗИП'!$AG:$AG,'Отчет РПЗ(ПЗ)_ПЗИП'!$G:$G,Справочно!$C20,'Отчет РПЗ(ПЗ)_ПЗИП'!$AO:$AO,5,'Отчет РПЗ(ПЗ)_ПЗИП'!$AG:$AG,"&gt;0")</f>
        <v>0</v>
      </c>
      <c r="AJ36" s="44">
        <f>ПП!S24</f>
        <v>0</v>
      </c>
      <c r="AK36" s="223">
        <f>COUNTIFS('Отчет РПЗ(ПЗ)_ПЗИП'!$G:$G,Справочно!$C20,'Отчет РПЗ(ПЗ)_ПЗИП'!$AO:$AO,6,'Отчет РПЗ(ПЗ)_ПЗИП'!$AG:$AG,"&gt;0")</f>
        <v>0</v>
      </c>
      <c r="AL36" s="504">
        <f>ПП!T24</f>
        <v>0</v>
      </c>
      <c r="AM36" s="444">
        <f>SUMIFS('Отчет РПЗ(ПЗ)_ПЗИП'!$AG:$AG,'Отчет РПЗ(ПЗ)_ПЗИП'!$G:$G,Справочно!$C20,'Отчет РПЗ(ПЗ)_ПЗИП'!$AO:$AO,6,'Отчет РПЗ(ПЗ)_ПЗИП'!$AG:$AG,"&gt;0")</f>
        <v>0</v>
      </c>
      <c r="AN36" s="211">
        <f>ПП!U24</f>
        <v>0</v>
      </c>
      <c r="AO36" s="225">
        <f t="shared" si="7"/>
        <v>0</v>
      </c>
      <c r="AP36" s="503">
        <f t="shared" si="8"/>
        <v>0</v>
      </c>
      <c r="AQ36" s="399">
        <f t="shared" si="9"/>
        <v>0</v>
      </c>
      <c r="AR36" s="199">
        <f>ПП!W24</f>
        <v>0</v>
      </c>
      <c r="AS36" s="180">
        <f>COUNTIFS('Отчет РПЗ(ПЗ)_ПЗИП'!$G:$G,Справочно!$C20,'Отчет РПЗ(ПЗ)_ПЗИП'!$AO:$AO,7,'Отчет РПЗ(ПЗ)_ПЗИП'!$AG:$AG,"&gt;0")</f>
        <v>0</v>
      </c>
      <c r="AT36" s="504">
        <f>ПП!X24</f>
        <v>0</v>
      </c>
      <c r="AU36" s="445">
        <f>SUMIFS('Отчет РПЗ(ПЗ)_ПЗИП'!$AG:$AG,'Отчет РПЗ(ПЗ)_ПЗИП'!$G:$G,Справочно!$C20,'Отчет РПЗ(ПЗ)_ПЗИП'!$AO:$AO,7,'Отчет РПЗ(ПЗ)_ПЗИП'!$AG:$AG,"&gt;0")</f>
        <v>0</v>
      </c>
      <c r="AV36" s="44">
        <f>ПП!Y24</f>
        <v>0</v>
      </c>
      <c r="AW36" s="180">
        <f>COUNTIFS('Отчет РПЗ(ПЗ)_ПЗИП'!$G:$G,Справочно!$C20,'Отчет РПЗ(ПЗ)_ПЗИП'!$AO:$AO,8,'Отчет РПЗ(ПЗ)_ПЗИП'!$AG:$AG,"&gt;0")</f>
        <v>0</v>
      </c>
      <c r="AX36" s="504">
        <f>ПП!Z24</f>
        <v>0</v>
      </c>
      <c r="AY36" s="445">
        <f>SUMIFS('Отчет РПЗ(ПЗ)_ПЗИП'!$AG:$AG,'Отчет РПЗ(ПЗ)_ПЗИП'!$G:$G,Справочно!$C20,'Отчет РПЗ(ПЗ)_ПЗИП'!$AO:$AO,8,'Отчет РПЗ(ПЗ)_ПЗИП'!$AG:$AG,"&gt;0")</f>
        <v>0</v>
      </c>
      <c r="AZ36" s="44">
        <f>ПП!AA24</f>
        <v>0</v>
      </c>
      <c r="BA36" s="180">
        <f>COUNTIFS('Отчет РПЗ(ПЗ)_ПЗИП'!$G:$G,Справочно!$C20,'Отчет РПЗ(ПЗ)_ПЗИП'!$AO:$AO,9,'Отчет РПЗ(ПЗ)_ПЗИП'!$AG:$AG,"&gt;0")</f>
        <v>0</v>
      </c>
      <c r="BB36" s="504">
        <f>ПП!AB24</f>
        <v>0</v>
      </c>
      <c r="BC36" s="446">
        <f>SUMIFS('Отчет РПЗ(ПЗ)_ПЗИП'!$AG:$AG,'Отчет РПЗ(ПЗ)_ПЗИП'!$G:$G,Справочно!$C20,'Отчет РПЗ(ПЗ)_ПЗИП'!$AO:$AO,9,'Отчет РПЗ(ПЗ)_ПЗИП'!$AG:$AG,"&gt;0")</f>
        <v>0</v>
      </c>
      <c r="BD36" s="211">
        <f>ПП!AC24</f>
        <v>0</v>
      </c>
      <c r="BE36" s="220">
        <f t="shared" si="10"/>
        <v>0</v>
      </c>
      <c r="BF36" s="503">
        <f t="shared" si="11"/>
        <v>0</v>
      </c>
      <c r="BG36" s="402">
        <f t="shared" si="12"/>
        <v>0</v>
      </c>
      <c r="BH36" s="199">
        <f>ПП!AE24</f>
        <v>0</v>
      </c>
      <c r="BI36" s="217">
        <f>COUNTIFS('Отчет РПЗ(ПЗ)_ПЗИП'!$G:$G,Справочно!$C20,'Отчет РПЗ(ПЗ)_ПЗИП'!$AO:$AO,10,'Отчет РПЗ(ПЗ)_ПЗИП'!$AG:$AG,"&gt;0")</f>
        <v>0</v>
      </c>
      <c r="BJ36" s="504">
        <f>ПП!AF24</f>
        <v>0</v>
      </c>
      <c r="BK36" s="447">
        <f>SUMIFS('Отчет РПЗ(ПЗ)_ПЗИП'!$AG:$AG,'Отчет РПЗ(ПЗ)_ПЗИП'!$G:$G,Справочно!$C20,'Отчет РПЗ(ПЗ)_ПЗИП'!$AO:$AO,10,'Отчет РПЗ(ПЗ)_ПЗИП'!$AG:$AG,"&gt;0")</f>
        <v>0</v>
      </c>
      <c r="BL36" s="44">
        <f>ПП!AG24</f>
        <v>0</v>
      </c>
      <c r="BM36" s="217">
        <f>COUNTIFS('Отчет РПЗ(ПЗ)_ПЗИП'!$G:$G,Справочно!$C20,'Отчет РПЗ(ПЗ)_ПЗИП'!$AO:$AO,11,'Отчет РПЗ(ПЗ)_ПЗИП'!$AG:$AG,"&gt;0")</f>
        <v>0</v>
      </c>
      <c r="BN36" s="504">
        <f>ПП!AH24</f>
        <v>0</v>
      </c>
      <c r="BO36" s="447">
        <f>SUMIFS('Отчет РПЗ(ПЗ)_ПЗИП'!$AG:$AG,'Отчет РПЗ(ПЗ)_ПЗИП'!$G:$G,Справочно!$C20,'Отчет РПЗ(ПЗ)_ПЗИП'!$AO:$AO,11,'Отчет РПЗ(ПЗ)_ПЗИП'!$AG:$AG,"&gt;0")</f>
        <v>0</v>
      </c>
      <c r="BP36" s="44">
        <f>ПП!AI24</f>
        <v>0</v>
      </c>
      <c r="BQ36" s="217">
        <f>COUNTIFS('Отчет РПЗ(ПЗ)_ПЗИП'!$G:$G,Справочно!$C20,'Отчет РПЗ(ПЗ)_ПЗИП'!$AO:$AO,12,'Отчет РПЗ(ПЗ)_ПЗИП'!$AG:$AG,"&gt;0")</f>
        <v>0</v>
      </c>
      <c r="BR36" s="504">
        <f>ПП!AJ24</f>
        <v>0</v>
      </c>
      <c r="BS36" s="448">
        <f>SUMIFS('Отчет РПЗ(ПЗ)_ПЗИП'!$AG:$AG,'Отчет РПЗ(ПЗ)_ПЗИП'!$G:$G,Справочно!$C20,'Отчет РПЗ(ПЗ)_ПЗИП'!$AO:$AO,12,'Отчет РПЗ(ПЗ)_ПЗИП'!$AG:$AG,"&gt;0")</f>
        <v>0</v>
      </c>
      <c r="BT36" s="211">
        <f>ПП!AK24</f>
        <v>0</v>
      </c>
      <c r="BU36" s="219">
        <f t="shared" si="13"/>
        <v>0</v>
      </c>
      <c r="BV36" s="503">
        <f t="shared" si="14"/>
        <v>0</v>
      </c>
      <c r="BW36" s="405">
        <f t="shared" si="15"/>
        <v>0</v>
      </c>
    </row>
    <row r="37" spans="2:75" ht="13.5" thickBot="1" x14ac:dyDescent="0.25">
      <c r="B37" s="86" t="s">
        <v>255</v>
      </c>
      <c r="C37" s="96">
        <f>ПП!B25</f>
        <v>0</v>
      </c>
      <c r="D37" s="491">
        <f>ПП!C25</f>
        <v>0</v>
      </c>
      <c r="E37" s="66">
        <f>COUNTIFS('Отчет РПЗ(ПЗ)_ПЗИП'!$G:$G,Справочно!$C21,'Отчет РПЗ(ПЗ)_ПЗИП'!AG:AG, "&gt;0")</f>
        <v>0</v>
      </c>
      <c r="F37" s="492" t="e">
        <f t="shared" si="2"/>
        <v>#DIV/0!</v>
      </c>
      <c r="G37" s="493">
        <f>ПП!D25</f>
        <v>0</v>
      </c>
      <c r="H37" s="494">
        <f>ПП!E25</f>
        <v>0</v>
      </c>
      <c r="I37" s="495">
        <f>SUMIF('Отчет РПЗ(ПЗ)_ПЗИП'!$G:$G,Справочно!$C21,'Отчет РПЗ(ПЗ)_ПЗИП'!$AG:$AG)</f>
        <v>0</v>
      </c>
      <c r="J37" s="492" t="e">
        <f t="shared" si="3"/>
        <v>#DIV/0!</v>
      </c>
      <c r="K37" s="64"/>
      <c r="L37" s="199">
        <f>ПП!G25</f>
        <v>0</v>
      </c>
      <c r="M37" s="184">
        <f>COUNTIFS('Отчет РПЗ(ПЗ)_ПЗИП'!$G:$G,Справочно!$C21,'Отчет РПЗ(ПЗ)_ПЗИП'!$AO:$AO,1,'Отчет РПЗ(ПЗ)_ПЗИП'!$AG:$AG,"&gt;0")</f>
        <v>0</v>
      </c>
      <c r="N37" s="504">
        <f>ПП!H25</f>
        <v>0</v>
      </c>
      <c r="O37" s="406">
        <f>SUMIFS('Отчет РПЗ(ПЗ)_ПЗИП'!$AG:$AG,'Отчет РПЗ(ПЗ)_ПЗИП'!$G:$G,Справочно!$C21,'Отчет РПЗ(ПЗ)_ПЗИП'!$AO:$AO,1,'Отчет РПЗ(ПЗ)_ПЗИП'!$AG:$AG,"&gt;0")</f>
        <v>0</v>
      </c>
      <c r="P37" s="44">
        <f>ПП!I25</f>
        <v>0</v>
      </c>
      <c r="Q37" s="184">
        <f>COUNTIFS('Отчет РПЗ(ПЗ)_ПЗИП'!$G:$G,Справочно!$C21,'Отчет РПЗ(ПЗ)_ПЗИП'!$AO:$AO,2,'Отчет РПЗ(ПЗ)_ПЗИП'!$AG:$AG,"&gt;0")</f>
        <v>0</v>
      </c>
      <c r="R37" s="504">
        <f>ПП!J25</f>
        <v>0</v>
      </c>
      <c r="S37" s="406">
        <f>SUMIFS('Отчет РПЗ(ПЗ)_ПЗИП'!$AG:$AG,'Отчет РПЗ(ПЗ)_ПЗИП'!$G:$G,Справочно!$C21,'Отчет РПЗ(ПЗ)_ПЗИП'!$AO:$AO,2,'Отчет РПЗ(ПЗ)_ПЗИП'!$AG:$AG,"&gt;0")</f>
        <v>0</v>
      </c>
      <c r="T37" s="44">
        <f>ПП!K25</f>
        <v>0</v>
      </c>
      <c r="U37" s="184">
        <f>COUNTIFS('Отчет РПЗ(ПЗ)_ПЗИП'!$G:$G,Справочно!$C21,'Отчет РПЗ(ПЗ)_ПЗИП'!$AO:$AO,3,'Отчет РПЗ(ПЗ)_ПЗИП'!$AG:$AG,"&gt;0")</f>
        <v>0</v>
      </c>
      <c r="V37" s="504">
        <f>ПП!L25</f>
        <v>0</v>
      </c>
      <c r="W37" s="442">
        <f>SUMIFS('Отчет РПЗ(ПЗ)_ПЗИП'!$AG:$AG,'Отчет РПЗ(ПЗ)_ПЗИП'!$G:$G,Справочно!$C21,'Отчет РПЗ(ПЗ)_ПЗИП'!$AO:$AO,3,'Отчет РПЗ(ПЗ)_ПЗИП'!$AG:$AG,"&gt;0")</f>
        <v>0</v>
      </c>
      <c r="X37" s="211">
        <f>ПП!M25</f>
        <v>0</v>
      </c>
      <c r="Y37" s="212">
        <f t="shared" si="4"/>
        <v>0</v>
      </c>
      <c r="Z37" s="503">
        <f t="shared" si="5"/>
        <v>0</v>
      </c>
      <c r="AA37" s="396">
        <f t="shared" si="6"/>
        <v>0</v>
      </c>
      <c r="AB37" s="199">
        <f>ПП!O25</f>
        <v>0</v>
      </c>
      <c r="AC37" s="223">
        <f>COUNTIFS('Отчет РПЗ(ПЗ)_ПЗИП'!$G:$G,Справочно!$C21,'Отчет РПЗ(ПЗ)_ПЗИП'!$AO:$AO,4,'Отчет РПЗ(ПЗ)_ПЗИП'!$AG:$AG,"&gt;0")</f>
        <v>0</v>
      </c>
      <c r="AD37" s="504">
        <f>ПП!P25</f>
        <v>0</v>
      </c>
      <c r="AE37" s="443">
        <f>SUMIFS('Отчет РПЗ(ПЗ)_ПЗИП'!$AG:$AG,'Отчет РПЗ(ПЗ)_ПЗИП'!$G:$G,Справочно!$C21,'Отчет РПЗ(ПЗ)_ПЗИП'!$AO:$AO,4,'Отчет РПЗ(ПЗ)_ПЗИП'!$AG:$AG,"&gt;0")</f>
        <v>0</v>
      </c>
      <c r="AF37" s="44">
        <f>ПП!Q25</f>
        <v>0</v>
      </c>
      <c r="AG37" s="223">
        <f>COUNTIFS('Отчет РПЗ(ПЗ)_ПЗИП'!$G:$G,Справочно!$C21,'Отчет РПЗ(ПЗ)_ПЗИП'!$AO:$AO,5,'Отчет РПЗ(ПЗ)_ПЗИП'!$AG:$AG,"&gt;0")</f>
        <v>0</v>
      </c>
      <c r="AH37" s="504">
        <f>ПП!R25</f>
        <v>0</v>
      </c>
      <c r="AI37" s="443">
        <f>SUMIFS('Отчет РПЗ(ПЗ)_ПЗИП'!$AG:$AG,'Отчет РПЗ(ПЗ)_ПЗИП'!$G:$G,Справочно!$C21,'Отчет РПЗ(ПЗ)_ПЗИП'!$AO:$AO,5,'Отчет РПЗ(ПЗ)_ПЗИП'!$AG:$AG,"&gt;0")</f>
        <v>0</v>
      </c>
      <c r="AJ37" s="44">
        <f>ПП!S25</f>
        <v>0</v>
      </c>
      <c r="AK37" s="223">
        <f>COUNTIFS('Отчет РПЗ(ПЗ)_ПЗИП'!$G:$G,Справочно!$C21,'Отчет РПЗ(ПЗ)_ПЗИП'!$AO:$AO,6,'Отчет РПЗ(ПЗ)_ПЗИП'!$AG:$AG,"&gt;0")</f>
        <v>0</v>
      </c>
      <c r="AL37" s="504">
        <f>ПП!T25</f>
        <v>0</v>
      </c>
      <c r="AM37" s="444">
        <f>SUMIFS('Отчет РПЗ(ПЗ)_ПЗИП'!$AG:$AG,'Отчет РПЗ(ПЗ)_ПЗИП'!$G:$G,Справочно!$C21,'Отчет РПЗ(ПЗ)_ПЗИП'!$AO:$AO,6,'Отчет РПЗ(ПЗ)_ПЗИП'!$AG:$AG,"&gt;0")</f>
        <v>0</v>
      </c>
      <c r="AN37" s="211">
        <f>ПП!U25</f>
        <v>0</v>
      </c>
      <c r="AO37" s="225">
        <f t="shared" si="7"/>
        <v>0</v>
      </c>
      <c r="AP37" s="503">
        <f t="shared" si="8"/>
        <v>0</v>
      </c>
      <c r="AQ37" s="399">
        <f t="shared" si="9"/>
        <v>0</v>
      </c>
      <c r="AR37" s="199">
        <f>ПП!W25</f>
        <v>0</v>
      </c>
      <c r="AS37" s="180">
        <f>COUNTIFS('Отчет РПЗ(ПЗ)_ПЗИП'!$G:$G,Справочно!$C21,'Отчет РПЗ(ПЗ)_ПЗИП'!$AO:$AO,7,'Отчет РПЗ(ПЗ)_ПЗИП'!$AG:$AG,"&gt;0")</f>
        <v>0</v>
      </c>
      <c r="AT37" s="504">
        <f>ПП!X25</f>
        <v>0</v>
      </c>
      <c r="AU37" s="445">
        <f>SUMIFS('Отчет РПЗ(ПЗ)_ПЗИП'!$AG:$AG,'Отчет РПЗ(ПЗ)_ПЗИП'!$G:$G,Справочно!$C21,'Отчет РПЗ(ПЗ)_ПЗИП'!$AO:$AO,7,'Отчет РПЗ(ПЗ)_ПЗИП'!$AG:$AG,"&gt;0")</f>
        <v>0</v>
      </c>
      <c r="AV37" s="44">
        <f>ПП!Y25</f>
        <v>0</v>
      </c>
      <c r="AW37" s="180">
        <f>COUNTIFS('Отчет РПЗ(ПЗ)_ПЗИП'!$G:$G,Справочно!$C21,'Отчет РПЗ(ПЗ)_ПЗИП'!$AO:$AO,8,'Отчет РПЗ(ПЗ)_ПЗИП'!$AG:$AG,"&gt;0")</f>
        <v>0</v>
      </c>
      <c r="AX37" s="504">
        <f>ПП!Z25</f>
        <v>0</v>
      </c>
      <c r="AY37" s="445">
        <f>SUMIFS('Отчет РПЗ(ПЗ)_ПЗИП'!$AG:$AG,'Отчет РПЗ(ПЗ)_ПЗИП'!$G:$G,Справочно!$C21,'Отчет РПЗ(ПЗ)_ПЗИП'!$AO:$AO,8,'Отчет РПЗ(ПЗ)_ПЗИП'!$AG:$AG,"&gt;0")</f>
        <v>0</v>
      </c>
      <c r="AZ37" s="44">
        <f>ПП!AA25</f>
        <v>0</v>
      </c>
      <c r="BA37" s="180">
        <f>COUNTIFS('Отчет РПЗ(ПЗ)_ПЗИП'!$G:$G,Справочно!$C21,'Отчет РПЗ(ПЗ)_ПЗИП'!$AO:$AO,9,'Отчет РПЗ(ПЗ)_ПЗИП'!$AG:$AG,"&gt;0")</f>
        <v>0</v>
      </c>
      <c r="BB37" s="504">
        <f>ПП!AB25</f>
        <v>0</v>
      </c>
      <c r="BC37" s="446">
        <f>SUMIFS('Отчет РПЗ(ПЗ)_ПЗИП'!$AG:$AG,'Отчет РПЗ(ПЗ)_ПЗИП'!$G:$G,Справочно!$C21,'Отчет РПЗ(ПЗ)_ПЗИП'!$AO:$AO,9,'Отчет РПЗ(ПЗ)_ПЗИП'!$AG:$AG,"&gt;0")</f>
        <v>0</v>
      </c>
      <c r="BD37" s="211">
        <f>ПП!AC25</f>
        <v>0</v>
      </c>
      <c r="BE37" s="220">
        <f t="shared" si="10"/>
        <v>0</v>
      </c>
      <c r="BF37" s="503">
        <f t="shared" si="11"/>
        <v>0</v>
      </c>
      <c r="BG37" s="402">
        <f t="shared" si="12"/>
        <v>0</v>
      </c>
      <c r="BH37" s="199">
        <f>ПП!AE25</f>
        <v>0</v>
      </c>
      <c r="BI37" s="217">
        <f>COUNTIFS('Отчет РПЗ(ПЗ)_ПЗИП'!$G:$G,Справочно!$C21,'Отчет РПЗ(ПЗ)_ПЗИП'!$AO:$AO,10,'Отчет РПЗ(ПЗ)_ПЗИП'!$AG:$AG,"&gt;0")</f>
        <v>0</v>
      </c>
      <c r="BJ37" s="504">
        <f>ПП!AF25</f>
        <v>0</v>
      </c>
      <c r="BK37" s="447">
        <f>SUMIFS('Отчет РПЗ(ПЗ)_ПЗИП'!$AG:$AG,'Отчет РПЗ(ПЗ)_ПЗИП'!$G:$G,Справочно!$C21,'Отчет РПЗ(ПЗ)_ПЗИП'!$AO:$AO,10,'Отчет РПЗ(ПЗ)_ПЗИП'!$AG:$AG,"&gt;0")</f>
        <v>0</v>
      </c>
      <c r="BL37" s="44">
        <f>ПП!AG25</f>
        <v>0</v>
      </c>
      <c r="BM37" s="217">
        <f>COUNTIFS('Отчет РПЗ(ПЗ)_ПЗИП'!$G:$G,Справочно!$C21,'Отчет РПЗ(ПЗ)_ПЗИП'!$AO:$AO,11,'Отчет РПЗ(ПЗ)_ПЗИП'!$AG:$AG,"&gt;0")</f>
        <v>0</v>
      </c>
      <c r="BN37" s="504">
        <f>ПП!AH25</f>
        <v>0</v>
      </c>
      <c r="BO37" s="447">
        <f>SUMIFS('Отчет РПЗ(ПЗ)_ПЗИП'!$AG:$AG,'Отчет РПЗ(ПЗ)_ПЗИП'!$G:$G,Справочно!$C21,'Отчет РПЗ(ПЗ)_ПЗИП'!$AO:$AO,11,'Отчет РПЗ(ПЗ)_ПЗИП'!$AG:$AG,"&gt;0")</f>
        <v>0</v>
      </c>
      <c r="BP37" s="44">
        <f>ПП!AI25</f>
        <v>0</v>
      </c>
      <c r="BQ37" s="217">
        <f>COUNTIFS('Отчет РПЗ(ПЗ)_ПЗИП'!$G:$G,Справочно!$C21,'Отчет РПЗ(ПЗ)_ПЗИП'!$AO:$AO,12,'Отчет РПЗ(ПЗ)_ПЗИП'!$AG:$AG,"&gt;0")</f>
        <v>0</v>
      </c>
      <c r="BR37" s="504">
        <f>ПП!AJ25</f>
        <v>0</v>
      </c>
      <c r="BS37" s="448">
        <f>SUMIFS('Отчет РПЗ(ПЗ)_ПЗИП'!$AG:$AG,'Отчет РПЗ(ПЗ)_ПЗИП'!$G:$G,Справочно!$C21,'Отчет РПЗ(ПЗ)_ПЗИП'!$AO:$AO,12,'Отчет РПЗ(ПЗ)_ПЗИП'!$AG:$AG,"&gt;0")</f>
        <v>0</v>
      </c>
      <c r="BT37" s="211">
        <f>ПП!AK25</f>
        <v>0</v>
      </c>
      <c r="BU37" s="219">
        <f t="shared" si="13"/>
        <v>0</v>
      </c>
      <c r="BV37" s="503">
        <f t="shared" si="14"/>
        <v>0</v>
      </c>
      <c r="BW37" s="405">
        <f t="shared" si="15"/>
        <v>0</v>
      </c>
    </row>
    <row r="38" spans="2:75" ht="13.5" thickBot="1" x14ac:dyDescent="0.25">
      <c r="B38" s="86" t="s">
        <v>168</v>
      </c>
      <c r="C38" s="96">
        <f>ПП!B26</f>
        <v>0</v>
      </c>
      <c r="D38" s="491">
        <f>ПП!C26</f>
        <v>0</v>
      </c>
      <c r="E38" s="66">
        <f>COUNTIFS('Отчет РПЗ(ПЗ)_ПЗИП'!$G:$G,Справочно!$C22,'Отчет РПЗ(ПЗ)_ПЗИП'!AG:AG, "&gt;0")</f>
        <v>0</v>
      </c>
      <c r="F38" s="492" t="e">
        <f t="shared" si="2"/>
        <v>#DIV/0!</v>
      </c>
      <c r="G38" s="493">
        <f>ПП!D26</f>
        <v>0</v>
      </c>
      <c r="H38" s="494">
        <f>ПП!E26</f>
        <v>0</v>
      </c>
      <c r="I38" s="495">
        <f>SUMIF('Отчет РПЗ(ПЗ)_ПЗИП'!$G:$G,Справочно!$C22,'Отчет РПЗ(ПЗ)_ПЗИП'!$AG:$AG)</f>
        <v>0</v>
      </c>
      <c r="J38" s="492" t="e">
        <f t="shared" si="3"/>
        <v>#DIV/0!</v>
      </c>
      <c r="K38" s="64"/>
      <c r="L38" s="199">
        <f>ПП!G26</f>
        <v>0</v>
      </c>
      <c r="M38" s="184">
        <f>COUNTIFS('Отчет РПЗ(ПЗ)_ПЗИП'!$G:$G,Справочно!$C22,'Отчет РПЗ(ПЗ)_ПЗИП'!$AO:$AO,1,'Отчет РПЗ(ПЗ)_ПЗИП'!$AG:$AG,"&gt;0")</f>
        <v>0</v>
      </c>
      <c r="N38" s="504">
        <f>ПП!H26</f>
        <v>0</v>
      </c>
      <c r="O38" s="406">
        <f>SUMIFS('Отчет РПЗ(ПЗ)_ПЗИП'!$AG:$AG,'Отчет РПЗ(ПЗ)_ПЗИП'!$G:$G,Справочно!$C22,'Отчет РПЗ(ПЗ)_ПЗИП'!$AO:$AO,1,'Отчет РПЗ(ПЗ)_ПЗИП'!$AG:$AG,"&gt;0")</f>
        <v>0</v>
      </c>
      <c r="P38" s="44">
        <f>ПП!I26</f>
        <v>0</v>
      </c>
      <c r="Q38" s="184">
        <f>COUNTIFS('Отчет РПЗ(ПЗ)_ПЗИП'!$G:$G,Справочно!$C22,'Отчет РПЗ(ПЗ)_ПЗИП'!$AO:$AO,2,'Отчет РПЗ(ПЗ)_ПЗИП'!$AG:$AG,"&gt;0")</f>
        <v>0</v>
      </c>
      <c r="R38" s="504">
        <f>ПП!J26</f>
        <v>0</v>
      </c>
      <c r="S38" s="406">
        <f>SUMIFS('Отчет РПЗ(ПЗ)_ПЗИП'!$AG:$AG,'Отчет РПЗ(ПЗ)_ПЗИП'!$G:$G,Справочно!$C22,'Отчет РПЗ(ПЗ)_ПЗИП'!$AO:$AO,2,'Отчет РПЗ(ПЗ)_ПЗИП'!$AG:$AG,"&gt;0")</f>
        <v>0</v>
      </c>
      <c r="T38" s="44">
        <f>ПП!K26</f>
        <v>0</v>
      </c>
      <c r="U38" s="184">
        <f>COUNTIFS('Отчет РПЗ(ПЗ)_ПЗИП'!$G:$G,Справочно!$C22,'Отчет РПЗ(ПЗ)_ПЗИП'!$AO:$AO,3,'Отчет РПЗ(ПЗ)_ПЗИП'!$AG:$AG,"&gt;0")</f>
        <v>0</v>
      </c>
      <c r="V38" s="504">
        <f>ПП!L26</f>
        <v>0</v>
      </c>
      <c r="W38" s="442">
        <f>SUMIFS('Отчет РПЗ(ПЗ)_ПЗИП'!$AG:$AG,'Отчет РПЗ(ПЗ)_ПЗИП'!$G:$G,Справочно!$C22,'Отчет РПЗ(ПЗ)_ПЗИП'!$AO:$AO,3,'Отчет РПЗ(ПЗ)_ПЗИП'!$AG:$AG,"&gt;0")</f>
        <v>0</v>
      </c>
      <c r="X38" s="211">
        <f>ПП!M26</f>
        <v>0</v>
      </c>
      <c r="Y38" s="212">
        <f t="shared" si="4"/>
        <v>0</v>
      </c>
      <c r="Z38" s="503">
        <f t="shared" si="5"/>
        <v>0</v>
      </c>
      <c r="AA38" s="396">
        <f t="shared" si="6"/>
        <v>0</v>
      </c>
      <c r="AB38" s="199">
        <f>ПП!O26</f>
        <v>0</v>
      </c>
      <c r="AC38" s="223">
        <f>COUNTIFS('Отчет РПЗ(ПЗ)_ПЗИП'!$G:$G,Справочно!$C22,'Отчет РПЗ(ПЗ)_ПЗИП'!$AO:$AO,4,'Отчет РПЗ(ПЗ)_ПЗИП'!$AG:$AG,"&gt;0")</f>
        <v>0</v>
      </c>
      <c r="AD38" s="504">
        <f>ПП!P26</f>
        <v>0</v>
      </c>
      <c r="AE38" s="443">
        <f>SUMIFS('Отчет РПЗ(ПЗ)_ПЗИП'!$AG:$AG,'Отчет РПЗ(ПЗ)_ПЗИП'!$G:$G,Справочно!$C22,'Отчет РПЗ(ПЗ)_ПЗИП'!$AO:$AO,4,'Отчет РПЗ(ПЗ)_ПЗИП'!$AG:$AG,"&gt;0")</f>
        <v>0</v>
      </c>
      <c r="AF38" s="44">
        <f>ПП!Q26</f>
        <v>0</v>
      </c>
      <c r="AG38" s="223">
        <f>COUNTIFS('Отчет РПЗ(ПЗ)_ПЗИП'!$G:$G,Справочно!$C22,'Отчет РПЗ(ПЗ)_ПЗИП'!$AO:$AO,5,'Отчет РПЗ(ПЗ)_ПЗИП'!$AG:$AG,"&gt;0")</f>
        <v>0</v>
      </c>
      <c r="AH38" s="504">
        <f>ПП!R26</f>
        <v>0</v>
      </c>
      <c r="AI38" s="443">
        <f>SUMIFS('Отчет РПЗ(ПЗ)_ПЗИП'!$AG:$AG,'Отчет РПЗ(ПЗ)_ПЗИП'!$G:$G,Справочно!$C22,'Отчет РПЗ(ПЗ)_ПЗИП'!$AO:$AO,5,'Отчет РПЗ(ПЗ)_ПЗИП'!$AG:$AG,"&gt;0")</f>
        <v>0</v>
      </c>
      <c r="AJ38" s="44">
        <f>ПП!S26</f>
        <v>0</v>
      </c>
      <c r="AK38" s="223">
        <f>COUNTIFS('Отчет РПЗ(ПЗ)_ПЗИП'!$G:$G,Справочно!$C22,'Отчет РПЗ(ПЗ)_ПЗИП'!$AO:$AO,6,'Отчет РПЗ(ПЗ)_ПЗИП'!$AG:$AG,"&gt;0")</f>
        <v>0</v>
      </c>
      <c r="AL38" s="504">
        <f>ПП!T26</f>
        <v>0</v>
      </c>
      <c r="AM38" s="444">
        <f>SUMIFS('Отчет РПЗ(ПЗ)_ПЗИП'!$AG:$AG,'Отчет РПЗ(ПЗ)_ПЗИП'!$G:$G,Справочно!$C22,'Отчет РПЗ(ПЗ)_ПЗИП'!$AO:$AO,6,'Отчет РПЗ(ПЗ)_ПЗИП'!$AG:$AG,"&gt;0")</f>
        <v>0</v>
      </c>
      <c r="AN38" s="211">
        <f>ПП!U26</f>
        <v>0</v>
      </c>
      <c r="AO38" s="225">
        <f t="shared" si="7"/>
        <v>0</v>
      </c>
      <c r="AP38" s="503">
        <f t="shared" si="8"/>
        <v>0</v>
      </c>
      <c r="AQ38" s="399">
        <f t="shared" si="9"/>
        <v>0</v>
      </c>
      <c r="AR38" s="199">
        <f>ПП!W26</f>
        <v>0</v>
      </c>
      <c r="AS38" s="180">
        <f>COUNTIFS('Отчет РПЗ(ПЗ)_ПЗИП'!$G:$G,Справочно!$C22,'Отчет РПЗ(ПЗ)_ПЗИП'!$AO:$AO,7,'Отчет РПЗ(ПЗ)_ПЗИП'!$AG:$AG,"&gt;0")</f>
        <v>0</v>
      </c>
      <c r="AT38" s="504">
        <f>ПП!X26</f>
        <v>0</v>
      </c>
      <c r="AU38" s="445">
        <f>SUMIFS('Отчет РПЗ(ПЗ)_ПЗИП'!$AG:$AG,'Отчет РПЗ(ПЗ)_ПЗИП'!$G:$G,Справочно!$C22,'Отчет РПЗ(ПЗ)_ПЗИП'!$AO:$AO,7,'Отчет РПЗ(ПЗ)_ПЗИП'!$AG:$AG,"&gt;0")</f>
        <v>0</v>
      </c>
      <c r="AV38" s="44">
        <f>ПП!Y26</f>
        <v>0</v>
      </c>
      <c r="AW38" s="180">
        <f>COUNTIFS('Отчет РПЗ(ПЗ)_ПЗИП'!$G:$G,Справочно!$C22,'Отчет РПЗ(ПЗ)_ПЗИП'!$AO:$AO,8,'Отчет РПЗ(ПЗ)_ПЗИП'!$AG:$AG,"&gt;0")</f>
        <v>0</v>
      </c>
      <c r="AX38" s="504">
        <f>ПП!Z26</f>
        <v>0</v>
      </c>
      <c r="AY38" s="445">
        <f>SUMIFS('Отчет РПЗ(ПЗ)_ПЗИП'!$AG:$AG,'Отчет РПЗ(ПЗ)_ПЗИП'!$G:$G,Справочно!$C22,'Отчет РПЗ(ПЗ)_ПЗИП'!$AO:$AO,8,'Отчет РПЗ(ПЗ)_ПЗИП'!$AG:$AG,"&gt;0")</f>
        <v>0</v>
      </c>
      <c r="AZ38" s="44">
        <f>ПП!AA26</f>
        <v>0</v>
      </c>
      <c r="BA38" s="180">
        <f>COUNTIFS('Отчет РПЗ(ПЗ)_ПЗИП'!$G:$G,Справочно!$C22,'Отчет РПЗ(ПЗ)_ПЗИП'!$AO:$AO,9,'Отчет РПЗ(ПЗ)_ПЗИП'!$AG:$AG,"&gt;0")</f>
        <v>0</v>
      </c>
      <c r="BB38" s="504">
        <f>ПП!AB26</f>
        <v>0</v>
      </c>
      <c r="BC38" s="446">
        <f>SUMIFS('Отчет РПЗ(ПЗ)_ПЗИП'!$AG:$AG,'Отчет РПЗ(ПЗ)_ПЗИП'!$G:$G,Справочно!$C22,'Отчет РПЗ(ПЗ)_ПЗИП'!$AO:$AO,9,'Отчет РПЗ(ПЗ)_ПЗИП'!$AG:$AG,"&gt;0")</f>
        <v>0</v>
      </c>
      <c r="BD38" s="211">
        <f>ПП!AC26</f>
        <v>0</v>
      </c>
      <c r="BE38" s="220">
        <f t="shared" si="10"/>
        <v>0</v>
      </c>
      <c r="BF38" s="503">
        <f t="shared" si="11"/>
        <v>0</v>
      </c>
      <c r="BG38" s="402">
        <f t="shared" si="12"/>
        <v>0</v>
      </c>
      <c r="BH38" s="199">
        <f>ПП!AE26</f>
        <v>0</v>
      </c>
      <c r="BI38" s="217">
        <f>COUNTIFS('Отчет РПЗ(ПЗ)_ПЗИП'!$G:$G,Справочно!$C22,'Отчет РПЗ(ПЗ)_ПЗИП'!$AO:$AO,10,'Отчет РПЗ(ПЗ)_ПЗИП'!$AG:$AG,"&gt;0")</f>
        <v>0</v>
      </c>
      <c r="BJ38" s="504">
        <f>ПП!AF26</f>
        <v>0</v>
      </c>
      <c r="BK38" s="447">
        <f>SUMIFS('Отчет РПЗ(ПЗ)_ПЗИП'!$AG:$AG,'Отчет РПЗ(ПЗ)_ПЗИП'!$G:$G,Справочно!$C22,'Отчет РПЗ(ПЗ)_ПЗИП'!$AO:$AO,10,'Отчет РПЗ(ПЗ)_ПЗИП'!$AG:$AG,"&gt;0")</f>
        <v>0</v>
      </c>
      <c r="BL38" s="44">
        <f>ПП!AG26</f>
        <v>0</v>
      </c>
      <c r="BM38" s="217">
        <f>COUNTIFS('Отчет РПЗ(ПЗ)_ПЗИП'!$G:$G,Справочно!$C22,'Отчет РПЗ(ПЗ)_ПЗИП'!$AO:$AO,11,'Отчет РПЗ(ПЗ)_ПЗИП'!$AG:$AG,"&gt;0")</f>
        <v>0</v>
      </c>
      <c r="BN38" s="504">
        <f>ПП!AH26</f>
        <v>0</v>
      </c>
      <c r="BO38" s="447">
        <f>SUMIFS('Отчет РПЗ(ПЗ)_ПЗИП'!$AG:$AG,'Отчет РПЗ(ПЗ)_ПЗИП'!$G:$G,Справочно!$C22,'Отчет РПЗ(ПЗ)_ПЗИП'!$AO:$AO,11,'Отчет РПЗ(ПЗ)_ПЗИП'!$AG:$AG,"&gt;0")</f>
        <v>0</v>
      </c>
      <c r="BP38" s="44">
        <f>ПП!AI26</f>
        <v>0</v>
      </c>
      <c r="BQ38" s="217">
        <f>COUNTIFS('Отчет РПЗ(ПЗ)_ПЗИП'!$G:$G,Справочно!$C22,'Отчет РПЗ(ПЗ)_ПЗИП'!$AO:$AO,12,'Отчет РПЗ(ПЗ)_ПЗИП'!$AG:$AG,"&gt;0")</f>
        <v>0</v>
      </c>
      <c r="BR38" s="504">
        <f>ПП!AJ26</f>
        <v>0</v>
      </c>
      <c r="BS38" s="448">
        <f>SUMIFS('Отчет РПЗ(ПЗ)_ПЗИП'!$AG:$AG,'Отчет РПЗ(ПЗ)_ПЗИП'!$G:$G,Справочно!$C22,'Отчет РПЗ(ПЗ)_ПЗИП'!$AO:$AO,12,'Отчет РПЗ(ПЗ)_ПЗИП'!$AG:$AG,"&gt;0")</f>
        <v>0</v>
      </c>
      <c r="BT38" s="211">
        <f>ПП!AK26</f>
        <v>0</v>
      </c>
      <c r="BU38" s="219">
        <f t="shared" si="13"/>
        <v>0</v>
      </c>
      <c r="BV38" s="503">
        <f t="shared" si="14"/>
        <v>0</v>
      </c>
      <c r="BW38" s="405">
        <f t="shared" si="15"/>
        <v>0</v>
      </c>
    </row>
    <row r="39" spans="2:75" ht="13.5" thickBot="1" x14ac:dyDescent="0.25">
      <c r="B39" s="86" t="s">
        <v>256</v>
      </c>
      <c r="C39" s="96">
        <f>ПП!B27</f>
        <v>0</v>
      </c>
      <c r="D39" s="491">
        <f>ПП!C27</f>
        <v>0</v>
      </c>
      <c r="E39" s="66">
        <f>COUNTIFS('Отчет РПЗ(ПЗ)_ПЗИП'!$G:$G,Справочно!$C23,'Отчет РПЗ(ПЗ)_ПЗИП'!AG:AG, "&gt;0")</f>
        <v>0</v>
      </c>
      <c r="F39" s="492" t="e">
        <f t="shared" si="2"/>
        <v>#DIV/0!</v>
      </c>
      <c r="G39" s="493">
        <f>ПП!D27</f>
        <v>0</v>
      </c>
      <c r="H39" s="494">
        <f>ПП!E27</f>
        <v>0</v>
      </c>
      <c r="I39" s="495">
        <f>SUMIF('Отчет РПЗ(ПЗ)_ПЗИП'!$G:$G,Справочно!$C23,'Отчет РПЗ(ПЗ)_ПЗИП'!$AG:$AG)</f>
        <v>0</v>
      </c>
      <c r="J39" s="492" t="e">
        <f t="shared" si="3"/>
        <v>#DIV/0!</v>
      </c>
      <c r="K39" s="64"/>
      <c r="L39" s="199">
        <f>ПП!G27</f>
        <v>0</v>
      </c>
      <c r="M39" s="184">
        <f>COUNTIFS('Отчет РПЗ(ПЗ)_ПЗИП'!$G:$G,Справочно!$C23,'Отчет РПЗ(ПЗ)_ПЗИП'!$AO:$AO,1,'Отчет РПЗ(ПЗ)_ПЗИП'!$AG:$AG,"&gt;0")</f>
        <v>0</v>
      </c>
      <c r="N39" s="504">
        <f>ПП!H27</f>
        <v>0</v>
      </c>
      <c r="O39" s="406">
        <f>SUMIFS('Отчет РПЗ(ПЗ)_ПЗИП'!$AG:$AG,'Отчет РПЗ(ПЗ)_ПЗИП'!$G:$G,Справочно!$C23,'Отчет РПЗ(ПЗ)_ПЗИП'!$AO:$AO,1,'Отчет РПЗ(ПЗ)_ПЗИП'!$AG:$AG,"&gt;0")</f>
        <v>0</v>
      </c>
      <c r="P39" s="44">
        <f>ПП!I27</f>
        <v>0</v>
      </c>
      <c r="Q39" s="184">
        <f>COUNTIFS('Отчет РПЗ(ПЗ)_ПЗИП'!$G:$G,Справочно!$C23,'Отчет РПЗ(ПЗ)_ПЗИП'!$AO:$AO,2,'Отчет РПЗ(ПЗ)_ПЗИП'!$AG:$AG,"&gt;0")</f>
        <v>0</v>
      </c>
      <c r="R39" s="504">
        <f>ПП!J27</f>
        <v>0</v>
      </c>
      <c r="S39" s="406">
        <f>SUMIFS('Отчет РПЗ(ПЗ)_ПЗИП'!$AG:$AG,'Отчет РПЗ(ПЗ)_ПЗИП'!$G:$G,Справочно!$C23,'Отчет РПЗ(ПЗ)_ПЗИП'!$AO:$AO,2,'Отчет РПЗ(ПЗ)_ПЗИП'!$AG:$AG,"&gt;0")</f>
        <v>0</v>
      </c>
      <c r="T39" s="44">
        <f>ПП!K27</f>
        <v>0</v>
      </c>
      <c r="U39" s="184">
        <f>COUNTIFS('Отчет РПЗ(ПЗ)_ПЗИП'!$G:$G,Справочно!$C23,'Отчет РПЗ(ПЗ)_ПЗИП'!$AO:$AO,3,'Отчет РПЗ(ПЗ)_ПЗИП'!$AG:$AG,"&gt;0")</f>
        <v>0</v>
      </c>
      <c r="V39" s="504">
        <f>ПП!L27</f>
        <v>0</v>
      </c>
      <c r="W39" s="442">
        <f>SUMIFS('Отчет РПЗ(ПЗ)_ПЗИП'!$AG:$AG,'Отчет РПЗ(ПЗ)_ПЗИП'!$G:$G,Справочно!$C23,'Отчет РПЗ(ПЗ)_ПЗИП'!$AO:$AO,3,'Отчет РПЗ(ПЗ)_ПЗИП'!$AG:$AG,"&gt;0")</f>
        <v>0</v>
      </c>
      <c r="X39" s="211">
        <f>ПП!M27</f>
        <v>0</v>
      </c>
      <c r="Y39" s="212">
        <f t="shared" si="4"/>
        <v>0</v>
      </c>
      <c r="Z39" s="503">
        <f t="shared" si="5"/>
        <v>0</v>
      </c>
      <c r="AA39" s="396">
        <f t="shared" si="6"/>
        <v>0</v>
      </c>
      <c r="AB39" s="199">
        <f>ПП!O27</f>
        <v>0</v>
      </c>
      <c r="AC39" s="223">
        <f>COUNTIFS('Отчет РПЗ(ПЗ)_ПЗИП'!$G:$G,Справочно!$C23,'Отчет РПЗ(ПЗ)_ПЗИП'!$AO:$AO,4,'Отчет РПЗ(ПЗ)_ПЗИП'!$AG:$AG,"&gt;0")</f>
        <v>0</v>
      </c>
      <c r="AD39" s="504">
        <f>ПП!P27</f>
        <v>0</v>
      </c>
      <c r="AE39" s="443">
        <f>SUMIFS('Отчет РПЗ(ПЗ)_ПЗИП'!$AG:$AG,'Отчет РПЗ(ПЗ)_ПЗИП'!$G:$G,Справочно!$C23,'Отчет РПЗ(ПЗ)_ПЗИП'!$AO:$AO,4,'Отчет РПЗ(ПЗ)_ПЗИП'!$AG:$AG,"&gt;0")</f>
        <v>0</v>
      </c>
      <c r="AF39" s="44">
        <f>ПП!Q27</f>
        <v>0</v>
      </c>
      <c r="AG39" s="223">
        <f>COUNTIFS('Отчет РПЗ(ПЗ)_ПЗИП'!$G:$G,Справочно!$C23,'Отчет РПЗ(ПЗ)_ПЗИП'!$AO:$AO,5,'Отчет РПЗ(ПЗ)_ПЗИП'!$AG:$AG,"&gt;0")</f>
        <v>0</v>
      </c>
      <c r="AH39" s="504">
        <f>ПП!R27</f>
        <v>0</v>
      </c>
      <c r="AI39" s="443">
        <f>SUMIFS('Отчет РПЗ(ПЗ)_ПЗИП'!$AG:$AG,'Отчет РПЗ(ПЗ)_ПЗИП'!$G:$G,Справочно!$C23,'Отчет РПЗ(ПЗ)_ПЗИП'!$AO:$AO,5,'Отчет РПЗ(ПЗ)_ПЗИП'!$AG:$AG,"&gt;0")</f>
        <v>0</v>
      </c>
      <c r="AJ39" s="44">
        <f>ПП!S27</f>
        <v>0</v>
      </c>
      <c r="AK39" s="223">
        <f>COUNTIFS('Отчет РПЗ(ПЗ)_ПЗИП'!$G:$G,Справочно!$C23,'Отчет РПЗ(ПЗ)_ПЗИП'!$AO:$AO,6,'Отчет РПЗ(ПЗ)_ПЗИП'!$AG:$AG,"&gt;0")</f>
        <v>0</v>
      </c>
      <c r="AL39" s="504">
        <f>ПП!T27</f>
        <v>0</v>
      </c>
      <c r="AM39" s="444">
        <f>SUMIFS('Отчет РПЗ(ПЗ)_ПЗИП'!$AG:$AG,'Отчет РПЗ(ПЗ)_ПЗИП'!$G:$G,Справочно!$C23,'Отчет РПЗ(ПЗ)_ПЗИП'!$AO:$AO,6,'Отчет РПЗ(ПЗ)_ПЗИП'!$AG:$AG,"&gt;0")</f>
        <v>0</v>
      </c>
      <c r="AN39" s="211">
        <f>ПП!U27</f>
        <v>0</v>
      </c>
      <c r="AO39" s="225">
        <f t="shared" si="7"/>
        <v>0</v>
      </c>
      <c r="AP39" s="503">
        <f t="shared" si="8"/>
        <v>0</v>
      </c>
      <c r="AQ39" s="399">
        <f t="shared" si="9"/>
        <v>0</v>
      </c>
      <c r="AR39" s="199">
        <f>ПП!W27</f>
        <v>0</v>
      </c>
      <c r="AS39" s="180">
        <f>COUNTIFS('Отчет РПЗ(ПЗ)_ПЗИП'!$G:$G,Справочно!$C23,'Отчет РПЗ(ПЗ)_ПЗИП'!$AO:$AO,7,'Отчет РПЗ(ПЗ)_ПЗИП'!$AG:$AG,"&gt;0")</f>
        <v>0</v>
      </c>
      <c r="AT39" s="504">
        <f>ПП!X27</f>
        <v>0</v>
      </c>
      <c r="AU39" s="445">
        <f>SUMIFS('Отчет РПЗ(ПЗ)_ПЗИП'!$AG:$AG,'Отчет РПЗ(ПЗ)_ПЗИП'!$G:$G,Справочно!$C23,'Отчет РПЗ(ПЗ)_ПЗИП'!$AO:$AO,7,'Отчет РПЗ(ПЗ)_ПЗИП'!$AG:$AG,"&gt;0")</f>
        <v>0</v>
      </c>
      <c r="AV39" s="44">
        <f>ПП!Y27</f>
        <v>0</v>
      </c>
      <c r="AW39" s="180">
        <f>COUNTIFS('Отчет РПЗ(ПЗ)_ПЗИП'!$G:$G,Справочно!$C23,'Отчет РПЗ(ПЗ)_ПЗИП'!$AO:$AO,8,'Отчет РПЗ(ПЗ)_ПЗИП'!$AG:$AG,"&gt;0")</f>
        <v>0</v>
      </c>
      <c r="AX39" s="504">
        <f>ПП!Z27</f>
        <v>0</v>
      </c>
      <c r="AY39" s="445">
        <f>SUMIFS('Отчет РПЗ(ПЗ)_ПЗИП'!$AG:$AG,'Отчет РПЗ(ПЗ)_ПЗИП'!$G:$G,Справочно!$C23,'Отчет РПЗ(ПЗ)_ПЗИП'!$AO:$AO,8,'Отчет РПЗ(ПЗ)_ПЗИП'!$AG:$AG,"&gt;0")</f>
        <v>0</v>
      </c>
      <c r="AZ39" s="44">
        <f>ПП!AA27</f>
        <v>0</v>
      </c>
      <c r="BA39" s="180">
        <f>COUNTIFS('Отчет РПЗ(ПЗ)_ПЗИП'!$G:$G,Справочно!$C23,'Отчет РПЗ(ПЗ)_ПЗИП'!$AO:$AO,9,'Отчет РПЗ(ПЗ)_ПЗИП'!$AG:$AG,"&gt;0")</f>
        <v>0</v>
      </c>
      <c r="BB39" s="504">
        <f>ПП!AB27</f>
        <v>0</v>
      </c>
      <c r="BC39" s="446">
        <f>SUMIFS('Отчет РПЗ(ПЗ)_ПЗИП'!$AG:$AG,'Отчет РПЗ(ПЗ)_ПЗИП'!$G:$G,Справочно!$C23,'Отчет РПЗ(ПЗ)_ПЗИП'!$AO:$AO,9,'Отчет РПЗ(ПЗ)_ПЗИП'!$AG:$AG,"&gt;0")</f>
        <v>0</v>
      </c>
      <c r="BD39" s="211">
        <f>ПП!AC27</f>
        <v>0</v>
      </c>
      <c r="BE39" s="220">
        <f t="shared" si="10"/>
        <v>0</v>
      </c>
      <c r="BF39" s="503">
        <f t="shared" si="11"/>
        <v>0</v>
      </c>
      <c r="BG39" s="402">
        <f t="shared" si="12"/>
        <v>0</v>
      </c>
      <c r="BH39" s="199">
        <f>ПП!AE27</f>
        <v>0</v>
      </c>
      <c r="BI39" s="217">
        <f>COUNTIFS('Отчет РПЗ(ПЗ)_ПЗИП'!$G:$G,Справочно!$C23,'Отчет РПЗ(ПЗ)_ПЗИП'!$AO:$AO,10,'Отчет РПЗ(ПЗ)_ПЗИП'!$AG:$AG,"&gt;0")</f>
        <v>0</v>
      </c>
      <c r="BJ39" s="504">
        <f>ПП!AF27</f>
        <v>0</v>
      </c>
      <c r="BK39" s="447">
        <f>SUMIFS('Отчет РПЗ(ПЗ)_ПЗИП'!$AG:$AG,'Отчет РПЗ(ПЗ)_ПЗИП'!$G:$G,Справочно!$C23,'Отчет РПЗ(ПЗ)_ПЗИП'!$AO:$AO,10,'Отчет РПЗ(ПЗ)_ПЗИП'!$AG:$AG,"&gt;0")</f>
        <v>0</v>
      </c>
      <c r="BL39" s="44">
        <f>ПП!AG27</f>
        <v>0</v>
      </c>
      <c r="BM39" s="217">
        <f>COUNTIFS('Отчет РПЗ(ПЗ)_ПЗИП'!$G:$G,Справочно!$C23,'Отчет РПЗ(ПЗ)_ПЗИП'!$AO:$AO,11,'Отчет РПЗ(ПЗ)_ПЗИП'!$AG:$AG,"&gt;0")</f>
        <v>0</v>
      </c>
      <c r="BN39" s="504">
        <f>ПП!AH27</f>
        <v>0</v>
      </c>
      <c r="BO39" s="447">
        <f>SUMIFS('Отчет РПЗ(ПЗ)_ПЗИП'!$AG:$AG,'Отчет РПЗ(ПЗ)_ПЗИП'!$G:$G,Справочно!$C23,'Отчет РПЗ(ПЗ)_ПЗИП'!$AO:$AO,11,'Отчет РПЗ(ПЗ)_ПЗИП'!$AG:$AG,"&gt;0")</f>
        <v>0</v>
      </c>
      <c r="BP39" s="44">
        <f>ПП!AI27</f>
        <v>0</v>
      </c>
      <c r="BQ39" s="217">
        <f>COUNTIFS('Отчет РПЗ(ПЗ)_ПЗИП'!$G:$G,Справочно!$C23,'Отчет РПЗ(ПЗ)_ПЗИП'!$AO:$AO,12,'Отчет РПЗ(ПЗ)_ПЗИП'!$AG:$AG,"&gt;0")</f>
        <v>0</v>
      </c>
      <c r="BR39" s="504">
        <f>ПП!AJ27</f>
        <v>0</v>
      </c>
      <c r="BS39" s="448">
        <f>SUMIFS('Отчет РПЗ(ПЗ)_ПЗИП'!$AG:$AG,'Отчет РПЗ(ПЗ)_ПЗИП'!$G:$G,Справочно!$C23,'Отчет РПЗ(ПЗ)_ПЗИП'!$AO:$AO,12,'Отчет РПЗ(ПЗ)_ПЗИП'!$AG:$AG,"&gt;0")</f>
        <v>0</v>
      </c>
      <c r="BT39" s="211">
        <f>ПП!AK27</f>
        <v>0</v>
      </c>
      <c r="BU39" s="219">
        <f t="shared" si="13"/>
        <v>0</v>
      </c>
      <c r="BV39" s="503">
        <f t="shared" si="14"/>
        <v>0</v>
      </c>
      <c r="BW39" s="405">
        <f t="shared" si="15"/>
        <v>0</v>
      </c>
    </row>
    <row r="40" spans="2:75" ht="13.5" thickBot="1" x14ac:dyDescent="0.25">
      <c r="B40" s="86" t="s">
        <v>169</v>
      </c>
      <c r="C40" s="96">
        <f>ПП!B28</f>
        <v>0</v>
      </c>
      <c r="D40" s="491">
        <f>ПП!C28</f>
        <v>0</v>
      </c>
      <c r="E40" s="66">
        <f>COUNTIFS('Отчет РПЗ(ПЗ)_ПЗИП'!$G:$G,Справочно!$C24,'Отчет РПЗ(ПЗ)_ПЗИП'!AG:AG, "&gt;0")</f>
        <v>0</v>
      </c>
      <c r="F40" s="492" t="e">
        <f t="shared" si="2"/>
        <v>#DIV/0!</v>
      </c>
      <c r="G40" s="493">
        <f>ПП!D28</f>
        <v>0</v>
      </c>
      <c r="H40" s="494">
        <f>ПП!E28</f>
        <v>0</v>
      </c>
      <c r="I40" s="495">
        <f>SUMIF('Отчет РПЗ(ПЗ)_ПЗИП'!$G:$G,Справочно!$C24,'Отчет РПЗ(ПЗ)_ПЗИП'!$AG:$AG)</f>
        <v>0</v>
      </c>
      <c r="J40" s="492" t="e">
        <f t="shared" si="3"/>
        <v>#DIV/0!</v>
      </c>
      <c r="K40" s="64"/>
      <c r="L40" s="199">
        <f>ПП!G28</f>
        <v>0</v>
      </c>
      <c r="M40" s="184">
        <f>COUNTIFS('Отчет РПЗ(ПЗ)_ПЗИП'!$G:$G,Справочно!$C24,'Отчет РПЗ(ПЗ)_ПЗИП'!$AO:$AO,1,'Отчет РПЗ(ПЗ)_ПЗИП'!$AG:$AG,"&gt;0")</f>
        <v>0</v>
      </c>
      <c r="N40" s="504">
        <f>ПП!H28</f>
        <v>0</v>
      </c>
      <c r="O40" s="406">
        <f>SUMIFS('Отчет РПЗ(ПЗ)_ПЗИП'!$AG:$AG,'Отчет РПЗ(ПЗ)_ПЗИП'!$G:$G,Справочно!$C24,'Отчет РПЗ(ПЗ)_ПЗИП'!$AO:$AO,1,'Отчет РПЗ(ПЗ)_ПЗИП'!$AG:$AG,"&gt;0")</f>
        <v>0</v>
      </c>
      <c r="P40" s="44">
        <f>ПП!I28</f>
        <v>0</v>
      </c>
      <c r="Q40" s="184">
        <f>COUNTIFS('Отчет РПЗ(ПЗ)_ПЗИП'!$G:$G,Справочно!$C24,'Отчет РПЗ(ПЗ)_ПЗИП'!$AO:$AO,2,'Отчет РПЗ(ПЗ)_ПЗИП'!$AG:$AG,"&gt;0")</f>
        <v>0</v>
      </c>
      <c r="R40" s="504">
        <f>ПП!J28</f>
        <v>0</v>
      </c>
      <c r="S40" s="406">
        <f>SUMIFS('Отчет РПЗ(ПЗ)_ПЗИП'!$AG:$AG,'Отчет РПЗ(ПЗ)_ПЗИП'!$G:$G,Справочно!$C24,'Отчет РПЗ(ПЗ)_ПЗИП'!$AO:$AO,2,'Отчет РПЗ(ПЗ)_ПЗИП'!$AG:$AG,"&gt;0")</f>
        <v>0</v>
      </c>
      <c r="T40" s="44">
        <f>ПП!K28</f>
        <v>0</v>
      </c>
      <c r="U40" s="184">
        <f>COUNTIFS('Отчет РПЗ(ПЗ)_ПЗИП'!$G:$G,Справочно!$C24,'Отчет РПЗ(ПЗ)_ПЗИП'!$AO:$AO,3,'Отчет РПЗ(ПЗ)_ПЗИП'!$AG:$AG,"&gt;0")</f>
        <v>0</v>
      </c>
      <c r="V40" s="504">
        <f>ПП!L28</f>
        <v>0</v>
      </c>
      <c r="W40" s="442">
        <f>SUMIFS('Отчет РПЗ(ПЗ)_ПЗИП'!$AG:$AG,'Отчет РПЗ(ПЗ)_ПЗИП'!$G:$G,Справочно!$C24,'Отчет РПЗ(ПЗ)_ПЗИП'!$AO:$AO,3,'Отчет РПЗ(ПЗ)_ПЗИП'!$AG:$AG,"&gt;0")</f>
        <v>0</v>
      </c>
      <c r="X40" s="211">
        <f>ПП!M28</f>
        <v>0</v>
      </c>
      <c r="Y40" s="212">
        <f t="shared" si="4"/>
        <v>0</v>
      </c>
      <c r="Z40" s="503">
        <f t="shared" si="5"/>
        <v>0</v>
      </c>
      <c r="AA40" s="396">
        <f t="shared" si="6"/>
        <v>0</v>
      </c>
      <c r="AB40" s="199">
        <f>ПП!O28</f>
        <v>0</v>
      </c>
      <c r="AC40" s="223">
        <f>COUNTIFS('Отчет РПЗ(ПЗ)_ПЗИП'!$G:$G,Справочно!$C24,'Отчет РПЗ(ПЗ)_ПЗИП'!$AO:$AO,4,'Отчет РПЗ(ПЗ)_ПЗИП'!$AG:$AG,"&gt;0")</f>
        <v>0</v>
      </c>
      <c r="AD40" s="504">
        <f>ПП!P28</f>
        <v>0</v>
      </c>
      <c r="AE40" s="443">
        <f>SUMIFS('Отчет РПЗ(ПЗ)_ПЗИП'!$AG:$AG,'Отчет РПЗ(ПЗ)_ПЗИП'!$G:$G,Справочно!$C24,'Отчет РПЗ(ПЗ)_ПЗИП'!$AO:$AO,4,'Отчет РПЗ(ПЗ)_ПЗИП'!$AG:$AG,"&gt;0")</f>
        <v>0</v>
      </c>
      <c r="AF40" s="44">
        <f>ПП!Q28</f>
        <v>0</v>
      </c>
      <c r="AG40" s="223">
        <f>COUNTIFS('Отчет РПЗ(ПЗ)_ПЗИП'!$G:$G,Справочно!$C24,'Отчет РПЗ(ПЗ)_ПЗИП'!$AO:$AO,5,'Отчет РПЗ(ПЗ)_ПЗИП'!$AG:$AG,"&gt;0")</f>
        <v>0</v>
      </c>
      <c r="AH40" s="504">
        <f>ПП!R28</f>
        <v>0</v>
      </c>
      <c r="AI40" s="443">
        <f>SUMIFS('Отчет РПЗ(ПЗ)_ПЗИП'!$AG:$AG,'Отчет РПЗ(ПЗ)_ПЗИП'!$G:$G,Справочно!$C24,'Отчет РПЗ(ПЗ)_ПЗИП'!$AO:$AO,5,'Отчет РПЗ(ПЗ)_ПЗИП'!$AG:$AG,"&gt;0")</f>
        <v>0</v>
      </c>
      <c r="AJ40" s="44">
        <f>ПП!S28</f>
        <v>0</v>
      </c>
      <c r="AK40" s="223">
        <f>COUNTIFS('Отчет РПЗ(ПЗ)_ПЗИП'!$G:$G,Справочно!$C24,'Отчет РПЗ(ПЗ)_ПЗИП'!$AO:$AO,6,'Отчет РПЗ(ПЗ)_ПЗИП'!$AG:$AG,"&gt;0")</f>
        <v>0</v>
      </c>
      <c r="AL40" s="504">
        <f>ПП!T28</f>
        <v>0</v>
      </c>
      <c r="AM40" s="444">
        <f>SUMIFS('Отчет РПЗ(ПЗ)_ПЗИП'!$AG:$AG,'Отчет РПЗ(ПЗ)_ПЗИП'!$G:$G,Справочно!$C24,'Отчет РПЗ(ПЗ)_ПЗИП'!$AO:$AO,6,'Отчет РПЗ(ПЗ)_ПЗИП'!$AG:$AG,"&gt;0")</f>
        <v>0</v>
      </c>
      <c r="AN40" s="211">
        <f>ПП!U28</f>
        <v>0</v>
      </c>
      <c r="AO40" s="225">
        <f t="shared" si="7"/>
        <v>0</v>
      </c>
      <c r="AP40" s="503">
        <f t="shared" si="8"/>
        <v>0</v>
      </c>
      <c r="AQ40" s="399">
        <f t="shared" si="9"/>
        <v>0</v>
      </c>
      <c r="AR40" s="199">
        <f>ПП!W28</f>
        <v>0</v>
      </c>
      <c r="AS40" s="180">
        <f>COUNTIFS('Отчет РПЗ(ПЗ)_ПЗИП'!$G:$G,Справочно!$C24,'Отчет РПЗ(ПЗ)_ПЗИП'!$AO:$AO,7,'Отчет РПЗ(ПЗ)_ПЗИП'!$AG:$AG,"&gt;0")</f>
        <v>0</v>
      </c>
      <c r="AT40" s="504">
        <f>ПП!X28</f>
        <v>0</v>
      </c>
      <c r="AU40" s="445">
        <f>SUMIFS('Отчет РПЗ(ПЗ)_ПЗИП'!$AG:$AG,'Отчет РПЗ(ПЗ)_ПЗИП'!$G:$G,Справочно!$C24,'Отчет РПЗ(ПЗ)_ПЗИП'!$AO:$AO,7,'Отчет РПЗ(ПЗ)_ПЗИП'!$AG:$AG,"&gt;0")</f>
        <v>0</v>
      </c>
      <c r="AV40" s="44">
        <f>ПП!Y28</f>
        <v>0</v>
      </c>
      <c r="AW40" s="180">
        <f>COUNTIFS('Отчет РПЗ(ПЗ)_ПЗИП'!$G:$G,Справочно!$C24,'Отчет РПЗ(ПЗ)_ПЗИП'!$AO:$AO,8,'Отчет РПЗ(ПЗ)_ПЗИП'!$AG:$AG,"&gt;0")</f>
        <v>0</v>
      </c>
      <c r="AX40" s="504">
        <f>ПП!Z28</f>
        <v>0</v>
      </c>
      <c r="AY40" s="445">
        <f>SUMIFS('Отчет РПЗ(ПЗ)_ПЗИП'!$AG:$AG,'Отчет РПЗ(ПЗ)_ПЗИП'!$G:$G,Справочно!$C24,'Отчет РПЗ(ПЗ)_ПЗИП'!$AO:$AO,8,'Отчет РПЗ(ПЗ)_ПЗИП'!$AG:$AG,"&gt;0")</f>
        <v>0</v>
      </c>
      <c r="AZ40" s="44">
        <f>ПП!AA28</f>
        <v>0</v>
      </c>
      <c r="BA40" s="180">
        <f>COUNTIFS('Отчет РПЗ(ПЗ)_ПЗИП'!$G:$G,Справочно!$C24,'Отчет РПЗ(ПЗ)_ПЗИП'!$AO:$AO,9,'Отчет РПЗ(ПЗ)_ПЗИП'!$AG:$AG,"&gt;0")</f>
        <v>0</v>
      </c>
      <c r="BB40" s="504">
        <f>ПП!AB28</f>
        <v>0</v>
      </c>
      <c r="BC40" s="446">
        <f>SUMIFS('Отчет РПЗ(ПЗ)_ПЗИП'!$AG:$AG,'Отчет РПЗ(ПЗ)_ПЗИП'!$G:$G,Справочно!$C24,'Отчет РПЗ(ПЗ)_ПЗИП'!$AO:$AO,9,'Отчет РПЗ(ПЗ)_ПЗИП'!$AG:$AG,"&gt;0")</f>
        <v>0</v>
      </c>
      <c r="BD40" s="211">
        <f>ПП!AC28</f>
        <v>0</v>
      </c>
      <c r="BE40" s="220">
        <f t="shared" si="10"/>
        <v>0</v>
      </c>
      <c r="BF40" s="503">
        <f t="shared" si="11"/>
        <v>0</v>
      </c>
      <c r="BG40" s="402">
        <f t="shared" si="12"/>
        <v>0</v>
      </c>
      <c r="BH40" s="199">
        <f>ПП!AE28</f>
        <v>0</v>
      </c>
      <c r="BI40" s="217">
        <f>COUNTIFS('Отчет РПЗ(ПЗ)_ПЗИП'!$G:$G,Справочно!$C24,'Отчет РПЗ(ПЗ)_ПЗИП'!$AO:$AO,10,'Отчет РПЗ(ПЗ)_ПЗИП'!$AG:$AG,"&gt;0")</f>
        <v>0</v>
      </c>
      <c r="BJ40" s="504">
        <f>ПП!AF28</f>
        <v>0</v>
      </c>
      <c r="BK40" s="447">
        <f>SUMIFS('Отчет РПЗ(ПЗ)_ПЗИП'!$AG:$AG,'Отчет РПЗ(ПЗ)_ПЗИП'!$G:$G,Справочно!$C24,'Отчет РПЗ(ПЗ)_ПЗИП'!$AO:$AO,10,'Отчет РПЗ(ПЗ)_ПЗИП'!$AG:$AG,"&gt;0")</f>
        <v>0</v>
      </c>
      <c r="BL40" s="44">
        <f>ПП!AG28</f>
        <v>0</v>
      </c>
      <c r="BM40" s="217">
        <f>COUNTIFS('Отчет РПЗ(ПЗ)_ПЗИП'!$G:$G,Справочно!$C24,'Отчет РПЗ(ПЗ)_ПЗИП'!$AO:$AO,11,'Отчет РПЗ(ПЗ)_ПЗИП'!$AG:$AG,"&gt;0")</f>
        <v>0</v>
      </c>
      <c r="BN40" s="504">
        <f>ПП!AH28</f>
        <v>0</v>
      </c>
      <c r="BO40" s="447">
        <f>SUMIFS('Отчет РПЗ(ПЗ)_ПЗИП'!$AG:$AG,'Отчет РПЗ(ПЗ)_ПЗИП'!$G:$G,Справочно!$C24,'Отчет РПЗ(ПЗ)_ПЗИП'!$AO:$AO,11,'Отчет РПЗ(ПЗ)_ПЗИП'!$AG:$AG,"&gt;0")</f>
        <v>0</v>
      </c>
      <c r="BP40" s="44">
        <f>ПП!AI28</f>
        <v>0</v>
      </c>
      <c r="BQ40" s="217">
        <f>COUNTIFS('Отчет РПЗ(ПЗ)_ПЗИП'!$G:$G,Справочно!$C24,'Отчет РПЗ(ПЗ)_ПЗИП'!$AO:$AO,12,'Отчет РПЗ(ПЗ)_ПЗИП'!$AG:$AG,"&gt;0")</f>
        <v>0</v>
      </c>
      <c r="BR40" s="504">
        <f>ПП!AJ28</f>
        <v>0</v>
      </c>
      <c r="BS40" s="448">
        <f>SUMIFS('Отчет РПЗ(ПЗ)_ПЗИП'!$AG:$AG,'Отчет РПЗ(ПЗ)_ПЗИП'!$G:$G,Справочно!$C24,'Отчет РПЗ(ПЗ)_ПЗИП'!$AO:$AO,12,'Отчет РПЗ(ПЗ)_ПЗИП'!$AG:$AG,"&gt;0")</f>
        <v>0</v>
      </c>
      <c r="BT40" s="211">
        <f>ПП!AK28</f>
        <v>0</v>
      </c>
      <c r="BU40" s="219">
        <f t="shared" si="13"/>
        <v>0</v>
      </c>
      <c r="BV40" s="503">
        <f t="shared" si="14"/>
        <v>0</v>
      </c>
      <c r="BW40" s="405">
        <f t="shared" si="15"/>
        <v>0</v>
      </c>
    </row>
    <row r="41" spans="2:75" ht="13.5" thickBot="1" x14ac:dyDescent="0.25">
      <c r="B41" s="86" t="s">
        <v>257</v>
      </c>
      <c r="C41" s="96">
        <f>ПП!B29</f>
        <v>0</v>
      </c>
      <c r="D41" s="491">
        <f>ПП!C29</f>
        <v>0</v>
      </c>
      <c r="E41" s="66">
        <f>COUNTIFS('Отчет РПЗ(ПЗ)_ПЗИП'!$G:$G,Справочно!$C25,'Отчет РПЗ(ПЗ)_ПЗИП'!AG:AG, "&gt;0")</f>
        <v>0</v>
      </c>
      <c r="F41" s="492" t="e">
        <f t="shared" si="2"/>
        <v>#DIV/0!</v>
      </c>
      <c r="G41" s="493">
        <f>ПП!D29</f>
        <v>0</v>
      </c>
      <c r="H41" s="494">
        <f>ПП!E29</f>
        <v>0</v>
      </c>
      <c r="I41" s="495">
        <f>SUMIF('Отчет РПЗ(ПЗ)_ПЗИП'!$G:$G,Справочно!$C25,'Отчет РПЗ(ПЗ)_ПЗИП'!$AG:$AG)</f>
        <v>0</v>
      </c>
      <c r="J41" s="492" t="e">
        <f t="shared" si="3"/>
        <v>#DIV/0!</v>
      </c>
      <c r="K41" s="64"/>
      <c r="L41" s="199">
        <f>ПП!G29</f>
        <v>0</v>
      </c>
      <c r="M41" s="184">
        <f>COUNTIFS('Отчет РПЗ(ПЗ)_ПЗИП'!$G:$G,Справочно!$C25,'Отчет РПЗ(ПЗ)_ПЗИП'!$AO:$AO,1,'Отчет РПЗ(ПЗ)_ПЗИП'!$AG:$AG,"&gt;0")</f>
        <v>0</v>
      </c>
      <c r="N41" s="504">
        <f>ПП!H29</f>
        <v>0</v>
      </c>
      <c r="O41" s="406">
        <f>SUMIFS('Отчет РПЗ(ПЗ)_ПЗИП'!$AG:$AG,'Отчет РПЗ(ПЗ)_ПЗИП'!$G:$G,Справочно!$C25,'Отчет РПЗ(ПЗ)_ПЗИП'!$AO:$AO,1,'Отчет РПЗ(ПЗ)_ПЗИП'!$AG:$AG,"&gt;0")</f>
        <v>0</v>
      </c>
      <c r="P41" s="44">
        <f>ПП!I29</f>
        <v>0</v>
      </c>
      <c r="Q41" s="184">
        <f>COUNTIFS('Отчет РПЗ(ПЗ)_ПЗИП'!$G:$G,Справочно!$C25,'Отчет РПЗ(ПЗ)_ПЗИП'!$AO:$AO,2,'Отчет РПЗ(ПЗ)_ПЗИП'!$AG:$AG,"&gt;0")</f>
        <v>0</v>
      </c>
      <c r="R41" s="504">
        <f>ПП!J29</f>
        <v>0</v>
      </c>
      <c r="S41" s="406">
        <f>SUMIFS('Отчет РПЗ(ПЗ)_ПЗИП'!$AG:$AG,'Отчет РПЗ(ПЗ)_ПЗИП'!$G:$G,Справочно!$C25,'Отчет РПЗ(ПЗ)_ПЗИП'!$AO:$AO,2,'Отчет РПЗ(ПЗ)_ПЗИП'!$AG:$AG,"&gt;0")</f>
        <v>0</v>
      </c>
      <c r="T41" s="44">
        <f>ПП!K29</f>
        <v>0</v>
      </c>
      <c r="U41" s="184">
        <f>COUNTIFS('Отчет РПЗ(ПЗ)_ПЗИП'!$G:$G,Справочно!$C25,'Отчет РПЗ(ПЗ)_ПЗИП'!$AO:$AO,3,'Отчет РПЗ(ПЗ)_ПЗИП'!$AG:$AG,"&gt;0")</f>
        <v>0</v>
      </c>
      <c r="V41" s="504">
        <f>ПП!L29</f>
        <v>0</v>
      </c>
      <c r="W41" s="442">
        <f>SUMIFS('Отчет РПЗ(ПЗ)_ПЗИП'!$AG:$AG,'Отчет РПЗ(ПЗ)_ПЗИП'!$G:$G,Справочно!$C25,'Отчет РПЗ(ПЗ)_ПЗИП'!$AO:$AO,3,'Отчет РПЗ(ПЗ)_ПЗИП'!$AG:$AG,"&gt;0")</f>
        <v>0</v>
      </c>
      <c r="X41" s="211">
        <f>ПП!M29</f>
        <v>0</v>
      </c>
      <c r="Y41" s="212">
        <f t="shared" si="4"/>
        <v>0</v>
      </c>
      <c r="Z41" s="503">
        <f t="shared" si="5"/>
        <v>0</v>
      </c>
      <c r="AA41" s="396">
        <f t="shared" si="6"/>
        <v>0</v>
      </c>
      <c r="AB41" s="199">
        <f>ПП!O29</f>
        <v>0</v>
      </c>
      <c r="AC41" s="223">
        <f>COUNTIFS('Отчет РПЗ(ПЗ)_ПЗИП'!$G:$G,Справочно!$C25,'Отчет РПЗ(ПЗ)_ПЗИП'!$AO:$AO,4,'Отчет РПЗ(ПЗ)_ПЗИП'!$AG:$AG,"&gt;0")</f>
        <v>0</v>
      </c>
      <c r="AD41" s="504">
        <f>ПП!P29</f>
        <v>0</v>
      </c>
      <c r="AE41" s="443">
        <f>SUMIFS('Отчет РПЗ(ПЗ)_ПЗИП'!$AG:$AG,'Отчет РПЗ(ПЗ)_ПЗИП'!$G:$G,Справочно!$C25,'Отчет РПЗ(ПЗ)_ПЗИП'!$AO:$AO,4,'Отчет РПЗ(ПЗ)_ПЗИП'!$AG:$AG,"&gt;0")</f>
        <v>0</v>
      </c>
      <c r="AF41" s="44">
        <f>ПП!Q29</f>
        <v>0</v>
      </c>
      <c r="AG41" s="223">
        <f>COUNTIFS('Отчет РПЗ(ПЗ)_ПЗИП'!$G:$G,Справочно!$C25,'Отчет РПЗ(ПЗ)_ПЗИП'!$AO:$AO,5,'Отчет РПЗ(ПЗ)_ПЗИП'!$AG:$AG,"&gt;0")</f>
        <v>0</v>
      </c>
      <c r="AH41" s="504">
        <f>ПП!R29</f>
        <v>0</v>
      </c>
      <c r="AI41" s="443">
        <f>SUMIFS('Отчет РПЗ(ПЗ)_ПЗИП'!$AG:$AG,'Отчет РПЗ(ПЗ)_ПЗИП'!$G:$G,Справочно!$C25,'Отчет РПЗ(ПЗ)_ПЗИП'!$AO:$AO,5,'Отчет РПЗ(ПЗ)_ПЗИП'!$AG:$AG,"&gt;0")</f>
        <v>0</v>
      </c>
      <c r="AJ41" s="44">
        <f>ПП!S29</f>
        <v>0</v>
      </c>
      <c r="AK41" s="223">
        <f>COUNTIFS('Отчет РПЗ(ПЗ)_ПЗИП'!$G:$G,Справочно!$C25,'Отчет РПЗ(ПЗ)_ПЗИП'!$AO:$AO,6,'Отчет РПЗ(ПЗ)_ПЗИП'!$AG:$AG,"&gt;0")</f>
        <v>0</v>
      </c>
      <c r="AL41" s="504">
        <f>ПП!T29</f>
        <v>0</v>
      </c>
      <c r="AM41" s="444">
        <f>SUMIFS('Отчет РПЗ(ПЗ)_ПЗИП'!$AG:$AG,'Отчет РПЗ(ПЗ)_ПЗИП'!$G:$G,Справочно!$C25,'Отчет РПЗ(ПЗ)_ПЗИП'!$AO:$AO,6,'Отчет РПЗ(ПЗ)_ПЗИП'!$AG:$AG,"&gt;0")</f>
        <v>0</v>
      </c>
      <c r="AN41" s="211">
        <f>ПП!U29</f>
        <v>0</v>
      </c>
      <c r="AO41" s="225">
        <f t="shared" si="7"/>
        <v>0</v>
      </c>
      <c r="AP41" s="503">
        <f t="shared" si="8"/>
        <v>0</v>
      </c>
      <c r="AQ41" s="399">
        <f t="shared" si="9"/>
        <v>0</v>
      </c>
      <c r="AR41" s="199">
        <f>ПП!W29</f>
        <v>0</v>
      </c>
      <c r="AS41" s="180">
        <f>COUNTIFS('Отчет РПЗ(ПЗ)_ПЗИП'!$G:$G,Справочно!$C25,'Отчет РПЗ(ПЗ)_ПЗИП'!$AO:$AO,7,'Отчет РПЗ(ПЗ)_ПЗИП'!$AG:$AG,"&gt;0")</f>
        <v>0</v>
      </c>
      <c r="AT41" s="504">
        <f>ПП!X29</f>
        <v>0</v>
      </c>
      <c r="AU41" s="445">
        <f>SUMIFS('Отчет РПЗ(ПЗ)_ПЗИП'!$AG:$AG,'Отчет РПЗ(ПЗ)_ПЗИП'!$G:$G,Справочно!$C25,'Отчет РПЗ(ПЗ)_ПЗИП'!$AO:$AO,7,'Отчет РПЗ(ПЗ)_ПЗИП'!$AG:$AG,"&gt;0")</f>
        <v>0</v>
      </c>
      <c r="AV41" s="44">
        <f>ПП!Y29</f>
        <v>0</v>
      </c>
      <c r="AW41" s="180">
        <f>COUNTIFS('Отчет РПЗ(ПЗ)_ПЗИП'!$G:$G,Справочно!$C25,'Отчет РПЗ(ПЗ)_ПЗИП'!$AO:$AO,8,'Отчет РПЗ(ПЗ)_ПЗИП'!$AG:$AG,"&gt;0")</f>
        <v>0</v>
      </c>
      <c r="AX41" s="504">
        <f>ПП!Z29</f>
        <v>0</v>
      </c>
      <c r="AY41" s="445">
        <f>SUMIFS('Отчет РПЗ(ПЗ)_ПЗИП'!$AG:$AG,'Отчет РПЗ(ПЗ)_ПЗИП'!$G:$G,Справочно!$C25,'Отчет РПЗ(ПЗ)_ПЗИП'!$AO:$AO,8,'Отчет РПЗ(ПЗ)_ПЗИП'!$AG:$AG,"&gt;0")</f>
        <v>0</v>
      </c>
      <c r="AZ41" s="44">
        <f>ПП!AA29</f>
        <v>0</v>
      </c>
      <c r="BA41" s="180">
        <f>COUNTIFS('Отчет РПЗ(ПЗ)_ПЗИП'!$G:$G,Справочно!$C25,'Отчет РПЗ(ПЗ)_ПЗИП'!$AO:$AO,9,'Отчет РПЗ(ПЗ)_ПЗИП'!$AG:$AG,"&gt;0")</f>
        <v>0</v>
      </c>
      <c r="BB41" s="504">
        <f>ПП!AB29</f>
        <v>0</v>
      </c>
      <c r="BC41" s="446">
        <f>SUMIFS('Отчет РПЗ(ПЗ)_ПЗИП'!$AG:$AG,'Отчет РПЗ(ПЗ)_ПЗИП'!$G:$G,Справочно!$C25,'Отчет РПЗ(ПЗ)_ПЗИП'!$AO:$AO,9,'Отчет РПЗ(ПЗ)_ПЗИП'!$AG:$AG,"&gt;0")</f>
        <v>0</v>
      </c>
      <c r="BD41" s="211">
        <f>ПП!AC29</f>
        <v>0</v>
      </c>
      <c r="BE41" s="220">
        <f t="shared" si="10"/>
        <v>0</v>
      </c>
      <c r="BF41" s="503">
        <f t="shared" si="11"/>
        <v>0</v>
      </c>
      <c r="BG41" s="402">
        <f t="shared" si="12"/>
        <v>0</v>
      </c>
      <c r="BH41" s="199">
        <f>ПП!AE29</f>
        <v>0</v>
      </c>
      <c r="BI41" s="217">
        <f>COUNTIFS('Отчет РПЗ(ПЗ)_ПЗИП'!$G:$G,Справочно!$C25,'Отчет РПЗ(ПЗ)_ПЗИП'!$AO:$AO,10,'Отчет РПЗ(ПЗ)_ПЗИП'!$AG:$AG,"&gt;0")</f>
        <v>0</v>
      </c>
      <c r="BJ41" s="504">
        <f>ПП!AF29</f>
        <v>0</v>
      </c>
      <c r="BK41" s="447">
        <f>SUMIFS('Отчет РПЗ(ПЗ)_ПЗИП'!$AG:$AG,'Отчет РПЗ(ПЗ)_ПЗИП'!$G:$G,Справочно!$C25,'Отчет РПЗ(ПЗ)_ПЗИП'!$AO:$AO,10,'Отчет РПЗ(ПЗ)_ПЗИП'!$AG:$AG,"&gt;0")</f>
        <v>0</v>
      </c>
      <c r="BL41" s="44">
        <f>ПП!AG29</f>
        <v>0</v>
      </c>
      <c r="BM41" s="217">
        <f>COUNTIFS('Отчет РПЗ(ПЗ)_ПЗИП'!$G:$G,Справочно!$C25,'Отчет РПЗ(ПЗ)_ПЗИП'!$AO:$AO,11,'Отчет РПЗ(ПЗ)_ПЗИП'!$AG:$AG,"&gt;0")</f>
        <v>0</v>
      </c>
      <c r="BN41" s="504">
        <f>ПП!AH29</f>
        <v>0</v>
      </c>
      <c r="BO41" s="447">
        <f>SUMIFS('Отчет РПЗ(ПЗ)_ПЗИП'!$AG:$AG,'Отчет РПЗ(ПЗ)_ПЗИП'!$G:$G,Справочно!$C25,'Отчет РПЗ(ПЗ)_ПЗИП'!$AO:$AO,11,'Отчет РПЗ(ПЗ)_ПЗИП'!$AG:$AG,"&gt;0")</f>
        <v>0</v>
      </c>
      <c r="BP41" s="44">
        <f>ПП!AI29</f>
        <v>0</v>
      </c>
      <c r="BQ41" s="217">
        <f>COUNTIFS('Отчет РПЗ(ПЗ)_ПЗИП'!$G:$G,Справочно!$C25,'Отчет РПЗ(ПЗ)_ПЗИП'!$AO:$AO,12,'Отчет РПЗ(ПЗ)_ПЗИП'!$AG:$AG,"&gt;0")</f>
        <v>0</v>
      </c>
      <c r="BR41" s="504">
        <f>ПП!AJ29</f>
        <v>0</v>
      </c>
      <c r="BS41" s="448">
        <f>SUMIFS('Отчет РПЗ(ПЗ)_ПЗИП'!$AG:$AG,'Отчет РПЗ(ПЗ)_ПЗИП'!$G:$G,Справочно!$C25,'Отчет РПЗ(ПЗ)_ПЗИП'!$AO:$AO,12,'Отчет РПЗ(ПЗ)_ПЗИП'!$AG:$AG,"&gt;0")</f>
        <v>0</v>
      </c>
      <c r="BT41" s="211">
        <f>ПП!AK29</f>
        <v>0</v>
      </c>
      <c r="BU41" s="219">
        <f t="shared" si="13"/>
        <v>0</v>
      </c>
      <c r="BV41" s="503">
        <f t="shared" si="14"/>
        <v>0</v>
      </c>
      <c r="BW41" s="405">
        <f t="shared" si="15"/>
        <v>0</v>
      </c>
    </row>
    <row r="42" spans="2:75" ht="13.5" thickBot="1" x14ac:dyDescent="0.25">
      <c r="B42" s="86" t="s">
        <v>170</v>
      </c>
      <c r="C42" s="96">
        <f>ПП!B30</f>
        <v>0</v>
      </c>
      <c r="D42" s="491">
        <f>ПП!C30</f>
        <v>0</v>
      </c>
      <c r="E42" s="66">
        <f>COUNTIFS('Отчет РПЗ(ПЗ)_ПЗИП'!$G:$G,Справочно!$C26,'Отчет РПЗ(ПЗ)_ПЗИП'!AG:AG, "&gt;0")</f>
        <v>0</v>
      </c>
      <c r="F42" s="492" t="e">
        <f t="shared" si="2"/>
        <v>#DIV/0!</v>
      </c>
      <c r="G42" s="493">
        <f>ПП!D30</f>
        <v>0</v>
      </c>
      <c r="H42" s="494">
        <f>ПП!E30</f>
        <v>0</v>
      </c>
      <c r="I42" s="495">
        <f>SUMIF('Отчет РПЗ(ПЗ)_ПЗИП'!$G:$G,Справочно!$C26,'Отчет РПЗ(ПЗ)_ПЗИП'!$AG:$AG)</f>
        <v>0</v>
      </c>
      <c r="J42" s="492" t="e">
        <f t="shared" si="3"/>
        <v>#DIV/0!</v>
      </c>
      <c r="K42" s="64"/>
      <c r="L42" s="199">
        <f>ПП!G30</f>
        <v>0</v>
      </c>
      <c r="M42" s="184">
        <f>COUNTIFS('Отчет РПЗ(ПЗ)_ПЗИП'!$G:$G,Справочно!$C26,'Отчет РПЗ(ПЗ)_ПЗИП'!$AO:$AO,1,'Отчет РПЗ(ПЗ)_ПЗИП'!$AG:$AG,"&gt;0")</f>
        <v>0</v>
      </c>
      <c r="N42" s="504">
        <f>ПП!H30</f>
        <v>0</v>
      </c>
      <c r="O42" s="406">
        <f>SUMIFS('Отчет РПЗ(ПЗ)_ПЗИП'!$AG:$AG,'Отчет РПЗ(ПЗ)_ПЗИП'!$G:$G,Справочно!$C26,'Отчет РПЗ(ПЗ)_ПЗИП'!$AO:$AO,1,'Отчет РПЗ(ПЗ)_ПЗИП'!$AG:$AG,"&gt;0")</f>
        <v>0</v>
      </c>
      <c r="P42" s="44">
        <f>ПП!I30</f>
        <v>0</v>
      </c>
      <c r="Q42" s="184">
        <f>COUNTIFS('Отчет РПЗ(ПЗ)_ПЗИП'!$G:$G,Справочно!$C26,'Отчет РПЗ(ПЗ)_ПЗИП'!$AO:$AO,2,'Отчет РПЗ(ПЗ)_ПЗИП'!$AG:$AG,"&gt;0")</f>
        <v>0</v>
      </c>
      <c r="R42" s="504">
        <f>ПП!J30</f>
        <v>0</v>
      </c>
      <c r="S42" s="406">
        <f>SUMIFS('Отчет РПЗ(ПЗ)_ПЗИП'!$AG:$AG,'Отчет РПЗ(ПЗ)_ПЗИП'!$G:$G,Справочно!$C26,'Отчет РПЗ(ПЗ)_ПЗИП'!$AO:$AO,2,'Отчет РПЗ(ПЗ)_ПЗИП'!$AG:$AG,"&gt;0")</f>
        <v>0</v>
      </c>
      <c r="T42" s="44">
        <f>ПП!K30</f>
        <v>0</v>
      </c>
      <c r="U42" s="184">
        <f>COUNTIFS('Отчет РПЗ(ПЗ)_ПЗИП'!$G:$G,Справочно!$C26,'Отчет РПЗ(ПЗ)_ПЗИП'!$AO:$AO,3,'Отчет РПЗ(ПЗ)_ПЗИП'!$AG:$AG,"&gt;0")</f>
        <v>0</v>
      </c>
      <c r="V42" s="504">
        <f>ПП!L30</f>
        <v>0</v>
      </c>
      <c r="W42" s="442">
        <f>SUMIFS('Отчет РПЗ(ПЗ)_ПЗИП'!$AG:$AG,'Отчет РПЗ(ПЗ)_ПЗИП'!$G:$G,Справочно!$C26,'Отчет РПЗ(ПЗ)_ПЗИП'!$AO:$AO,3,'Отчет РПЗ(ПЗ)_ПЗИП'!$AG:$AG,"&gt;0")</f>
        <v>0</v>
      </c>
      <c r="X42" s="211">
        <f>ПП!M30</f>
        <v>0</v>
      </c>
      <c r="Y42" s="212">
        <f t="shared" si="4"/>
        <v>0</v>
      </c>
      <c r="Z42" s="503">
        <f t="shared" si="5"/>
        <v>0</v>
      </c>
      <c r="AA42" s="396">
        <f t="shared" si="6"/>
        <v>0</v>
      </c>
      <c r="AB42" s="199">
        <f>ПП!O30</f>
        <v>0</v>
      </c>
      <c r="AC42" s="223">
        <f>COUNTIFS('Отчет РПЗ(ПЗ)_ПЗИП'!$G:$G,Справочно!$C26,'Отчет РПЗ(ПЗ)_ПЗИП'!$AO:$AO,4,'Отчет РПЗ(ПЗ)_ПЗИП'!$AG:$AG,"&gt;0")</f>
        <v>0</v>
      </c>
      <c r="AD42" s="504">
        <f>ПП!P30</f>
        <v>0</v>
      </c>
      <c r="AE42" s="443">
        <f>SUMIFS('Отчет РПЗ(ПЗ)_ПЗИП'!$AG:$AG,'Отчет РПЗ(ПЗ)_ПЗИП'!$G:$G,Справочно!$C26,'Отчет РПЗ(ПЗ)_ПЗИП'!$AO:$AO,4,'Отчет РПЗ(ПЗ)_ПЗИП'!$AG:$AG,"&gt;0")</f>
        <v>0</v>
      </c>
      <c r="AF42" s="44">
        <f>ПП!Q30</f>
        <v>0</v>
      </c>
      <c r="AG42" s="223">
        <f>COUNTIFS('Отчет РПЗ(ПЗ)_ПЗИП'!$G:$G,Справочно!$C26,'Отчет РПЗ(ПЗ)_ПЗИП'!$AO:$AO,5,'Отчет РПЗ(ПЗ)_ПЗИП'!$AG:$AG,"&gt;0")</f>
        <v>0</v>
      </c>
      <c r="AH42" s="504">
        <f>ПП!R30</f>
        <v>0</v>
      </c>
      <c r="AI42" s="443">
        <f>SUMIFS('Отчет РПЗ(ПЗ)_ПЗИП'!$AG:$AG,'Отчет РПЗ(ПЗ)_ПЗИП'!$G:$G,Справочно!$C26,'Отчет РПЗ(ПЗ)_ПЗИП'!$AO:$AO,5,'Отчет РПЗ(ПЗ)_ПЗИП'!$AG:$AG,"&gt;0")</f>
        <v>0</v>
      </c>
      <c r="AJ42" s="44">
        <f>ПП!S30</f>
        <v>0</v>
      </c>
      <c r="AK42" s="223">
        <f>COUNTIFS('Отчет РПЗ(ПЗ)_ПЗИП'!$G:$G,Справочно!$C26,'Отчет РПЗ(ПЗ)_ПЗИП'!$AO:$AO,6,'Отчет РПЗ(ПЗ)_ПЗИП'!$AG:$AG,"&gt;0")</f>
        <v>0</v>
      </c>
      <c r="AL42" s="504">
        <f>ПП!T30</f>
        <v>0</v>
      </c>
      <c r="AM42" s="444">
        <f>SUMIFS('Отчет РПЗ(ПЗ)_ПЗИП'!$AG:$AG,'Отчет РПЗ(ПЗ)_ПЗИП'!$G:$G,Справочно!$C26,'Отчет РПЗ(ПЗ)_ПЗИП'!$AO:$AO,6,'Отчет РПЗ(ПЗ)_ПЗИП'!$AG:$AG,"&gt;0")</f>
        <v>0</v>
      </c>
      <c r="AN42" s="211">
        <f>ПП!U30</f>
        <v>0</v>
      </c>
      <c r="AO42" s="225">
        <f t="shared" si="7"/>
        <v>0</v>
      </c>
      <c r="AP42" s="503">
        <f t="shared" si="8"/>
        <v>0</v>
      </c>
      <c r="AQ42" s="399">
        <f t="shared" si="9"/>
        <v>0</v>
      </c>
      <c r="AR42" s="199">
        <f>ПП!W30</f>
        <v>0</v>
      </c>
      <c r="AS42" s="180">
        <f>COUNTIFS('Отчет РПЗ(ПЗ)_ПЗИП'!$G:$G,Справочно!$C26,'Отчет РПЗ(ПЗ)_ПЗИП'!$AO:$AO,7,'Отчет РПЗ(ПЗ)_ПЗИП'!$AG:$AG,"&gt;0")</f>
        <v>0</v>
      </c>
      <c r="AT42" s="504">
        <f>ПП!X30</f>
        <v>0</v>
      </c>
      <c r="AU42" s="445">
        <f>SUMIFS('Отчет РПЗ(ПЗ)_ПЗИП'!$AG:$AG,'Отчет РПЗ(ПЗ)_ПЗИП'!$G:$G,Справочно!$C26,'Отчет РПЗ(ПЗ)_ПЗИП'!$AO:$AO,7,'Отчет РПЗ(ПЗ)_ПЗИП'!$AG:$AG,"&gt;0")</f>
        <v>0</v>
      </c>
      <c r="AV42" s="44">
        <f>ПП!Y30</f>
        <v>0</v>
      </c>
      <c r="AW42" s="180">
        <f>COUNTIFS('Отчет РПЗ(ПЗ)_ПЗИП'!$G:$G,Справочно!$C26,'Отчет РПЗ(ПЗ)_ПЗИП'!$AO:$AO,8,'Отчет РПЗ(ПЗ)_ПЗИП'!$AG:$AG,"&gt;0")</f>
        <v>0</v>
      </c>
      <c r="AX42" s="504">
        <f>ПП!Z30</f>
        <v>0</v>
      </c>
      <c r="AY42" s="445">
        <f>SUMIFS('Отчет РПЗ(ПЗ)_ПЗИП'!$AG:$AG,'Отчет РПЗ(ПЗ)_ПЗИП'!$G:$G,Справочно!$C26,'Отчет РПЗ(ПЗ)_ПЗИП'!$AO:$AO,8,'Отчет РПЗ(ПЗ)_ПЗИП'!$AG:$AG,"&gt;0")</f>
        <v>0</v>
      </c>
      <c r="AZ42" s="44">
        <f>ПП!AA30</f>
        <v>0</v>
      </c>
      <c r="BA42" s="180">
        <f>COUNTIFS('Отчет РПЗ(ПЗ)_ПЗИП'!$G:$G,Справочно!$C26,'Отчет РПЗ(ПЗ)_ПЗИП'!$AO:$AO,9,'Отчет РПЗ(ПЗ)_ПЗИП'!$AG:$AG,"&gt;0")</f>
        <v>0</v>
      </c>
      <c r="BB42" s="504">
        <f>ПП!AB30</f>
        <v>0</v>
      </c>
      <c r="BC42" s="446">
        <f>SUMIFS('Отчет РПЗ(ПЗ)_ПЗИП'!$AG:$AG,'Отчет РПЗ(ПЗ)_ПЗИП'!$G:$G,Справочно!$C26,'Отчет РПЗ(ПЗ)_ПЗИП'!$AO:$AO,9,'Отчет РПЗ(ПЗ)_ПЗИП'!$AG:$AG,"&gt;0")</f>
        <v>0</v>
      </c>
      <c r="BD42" s="211">
        <f>ПП!AC30</f>
        <v>0</v>
      </c>
      <c r="BE42" s="220">
        <f t="shared" si="10"/>
        <v>0</v>
      </c>
      <c r="BF42" s="503">
        <f t="shared" si="11"/>
        <v>0</v>
      </c>
      <c r="BG42" s="402">
        <f t="shared" si="12"/>
        <v>0</v>
      </c>
      <c r="BH42" s="199">
        <f>ПП!AE30</f>
        <v>0</v>
      </c>
      <c r="BI42" s="217">
        <f>COUNTIFS('Отчет РПЗ(ПЗ)_ПЗИП'!$G:$G,Справочно!$C26,'Отчет РПЗ(ПЗ)_ПЗИП'!$AO:$AO,10,'Отчет РПЗ(ПЗ)_ПЗИП'!$AG:$AG,"&gt;0")</f>
        <v>0</v>
      </c>
      <c r="BJ42" s="504">
        <f>ПП!AF30</f>
        <v>0</v>
      </c>
      <c r="BK42" s="447">
        <f>SUMIFS('Отчет РПЗ(ПЗ)_ПЗИП'!$AG:$AG,'Отчет РПЗ(ПЗ)_ПЗИП'!$G:$G,Справочно!$C26,'Отчет РПЗ(ПЗ)_ПЗИП'!$AO:$AO,10,'Отчет РПЗ(ПЗ)_ПЗИП'!$AG:$AG,"&gt;0")</f>
        <v>0</v>
      </c>
      <c r="BL42" s="44">
        <f>ПП!AG30</f>
        <v>0</v>
      </c>
      <c r="BM42" s="217">
        <f>COUNTIFS('Отчет РПЗ(ПЗ)_ПЗИП'!$G:$G,Справочно!$C26,'Отчет РПЗ(ПЗ)_ПЗИП'!$AO:$AO,11,'Отчет РПЗ(ПЗ)_ПЗИП'!$AG:$AG,"&gt;0")</f>
        <v>0</v>
      </c>
      <c r="BN42" s="504">
        <f>ПП!AH30</f>
        <v>0</v>
      </c>
      <c r="BO42" s="447">
        <f>SUMIFS('Отчет РПЗ(ПЗ)_ПЗИП'!$AG:$AG,'Отчет РПЗ(ПЗ)_ПЗИП'!$G:$G,Справочно!$C26,'Отчет РПЗ(ПЗ)_ПЗИП'!$AO:$AO,11,'Отчет РПЗ(ПЗ)_ПЗИП'!$AG:$AG,"&gt;0")</f>
        <v>0</v>
      </c>
      <c r="BP42" s="44">
        <f>ПП!AI30</f>
        <v>0</v>
      </c>
      <c r="BQ42" s="217">
        <f>COUNTIFS('Отчет РПЗ(ПЗ)_ПЗИП'!$G:$G,Справочно!$C26,'Отчет РПЗ(ПЗ)_ПЗИП'!$AO:$AO,12,'Отчет РПЗ(ПЗ)_ПЗИП'!$AG:$AG,"&gt;0")</f>
        <v>0</v>
      </c>
      <c r="BR42" s="504">
        <f>ПП!AJ30</f>
        <v>0</v>
      </c>
      <c r="BS42" s="448">
        <f>SUMIFS('Отчет РПЗ(ПЗ)_ПЗИП'!$AG:$AG,'Отчет РПЗ(ПЗ)_ПЗИП'!$G:$G,Справочно!$C26,'Отчет РПЗ(ПЗ)_ПЗИП'!$AO:$AO,12,'Отчет РПЗ(ПЗ)_ПЗИП'!$AG:$AG,"&gt;0")</f>
        <v>0</v>
      </c>
      <c r="BT42" s="211">
        <f>ПП!AK30</f>
        <v>0</v>
      </c>
      <c r="BU42" s="219">
        <f t="shared" si="13"/>
        <v>0</v>
      </c>
      <c r="BV42" s="503">
        <f t="shared" si="14"/>
        <v>0</v>
      </c>
      <c r="BW42" s="405">
        <f t="shared" si="15"/>
        <v>0</v>
      </c>
    </row>
    <row r="43" spans="2:75" ht="13.5" thickBot="1" x14ac:dyDescent="0.25">
      <c r="B43" s="86" t="s">
        <v>258</v>
      </c>
      <c r="C43" s="96">
        <f>ПП!B31</f>
        <v>0</v>
      </c>
      <c r="D43" s="491">
        <f>ПП!C31</f>
        <v>0</v>
      </c>
      <c r="E43" s="66">
        <f>COUNTIFS('Отчет РПЗ(ПЗ)_ПЗИП'!$G:$G,Справочно!$C27,'Отчет РПЗ(ПЗ)_ПЗИП'!AG:AG, "&gt;0")</f>
        <v>0</v>
      </c>
      <c r="F43" s="492" t="e">
        <f t="shared" si="2"/>
        <v>#DIV/0!</v>
      </c>
      <c r="G43" s="493">
        <f>ПП!D31</f>
        <v>0</v>
      </c>
      <c r="H43" s="494">
        <f>ПП!E31</f>
        <v>0</v>
      </c>
      <c r="I43" s="495">
        <f>SUMIF('Отчет РПЗ(ПЗ)_ПЗИП'!$G:$G,Справочно!$C27,'Отчет РПЗ(ПЗ)_ПЗИП'!$AG:$AG)</f>
        <v>0</v>
      </c>
      <c r="J43" s="492" t="e">
        <f t="shared" si="3"/>
        <v>#DIV/0!</v>
      </c>
      <c r="K43" s="64"/>
      <c r="L43" s="199">
        <f>ПП!G31</f>
        <v>0</v>
      </c>
      <c r="M43" s="184">
        <f>COUNTIFS('Отчет РПЗ(ПЗ)_ПЗИП'!$G:$G,Справочно!$C27,'Отчет РПЗ(ПЗ)_ПЗИП'!$AO:$AO,1,'Отчет РПЗ(ПЗ)_ПЗИП'!$AG:$AG,"&gt;0")</f>
        <v>0</v>
      </c>
      <c r="N43" s="504">
        <f>ПП!H31</f>
        <v>0</v>
      </c>
      <c r="O43" s="406">
        <f>SUMIFS('Отчет РПЗ(ПЗ)_ПЗИП'!$AG:$AG,'Отчет РПЗ(ПЗ)_ПЗИП'!$G:$G,Справочно!$C27,'Отчет РПЗ(ПЗ)_ПЗИП'!$AO:$AO,1,'Отчет РПЗ(ПЗ)_ПЗИП'!$AG:$AG,"&gt;0")</f>
        <v>0</v>
      </c>
      <c r="P43" s="44">
        <f>ПП!I31</f>
        <v>0</v>
      </c>
      <c r="Q43" s="184">
        <f>COUNTIFS('Отчет РПЗ(ПЗ)_ПЗИП'!$G:$G,Справочно!$C27,'Отчет РПЗ(ПЗ)_ПЗИП'!$AO:$AO,2,'Отчет РПЗ(ПЗ)_ПЗИП'!$AG:$AG,"&gt;0")</f>
        <v>0</v>
      </c>
      <c r="R43" s="504">
        <f>ПП!J31</f>
        <v>0</v>
      </c>
      <c r="S43" s="406">
        <f>SUMIFS('Отчет РПЗ(ПЗ)_ПЗИП'!$AG:$AG,'Отчет РПЗ(ПЗ)_ПЗИП'!$G:$G,Справочно!$C27,'Отчет РПЗ(ПЗ)_ПЗИП'!$AO:$AO,2,'Отчет РПЗ(ПЗ)_ПЗИП'!$AG:$AG,"&gt;0")</f>
        <v>0</v>
      </c>
      <c r="T43" s="44">
        <f>ПП!K31</f>
        <v>0</v>
      </c>
      <c r="U43" s="184">
        <f>COUNTIFS('Отчет РПЗ(ПЗ)_ПЗИП'!$G:$G,Справочно!$C27,'Отчет РПЗ(ПЗ)_ПЗИП'!$AO:$AO,3,'Отчет РПЗ(ПЗ)_ПЗИП'!$AG:$AG,"&gt;0")</f>
        <v>0</v>
      </c>
      <c r="V43" s="504">
        <f>ПП!L31</f>
        <v>0</v>
      </c>
      <c r="W43" s="442">
        <f>SUMIFS('Отчет РПЗ(ПЗ)_ПЗИП'!$AG:$AG,'Отчет РПЗ(ПЗ)_ПЗИП'!$G:$G,Справочно!$C27,'Отчет РПЗ(ПЗ)_ПЗИП'!$AO:$AO,3,'Отчет РПЗ(ПЗ)_ПЗИП'!$AG:$AG,"&gt;0")</f>
        <v>0</v>
      </c>
      <c r="X43" s="211">
        <f>ПП!M31</f>
        <v>0</v>
      </c>
      <c r="Y43" s="212">
        <f t="shared" si="4"/>
        <v>0</v>
      </c>
      <c r="Z43" s="503">
        <f t="shared" si="5"/>
        <v>0</v>
      </c>
      <c r="AA43" s="396">
        <f t="shared" si="6"/>
        <v>0</v>
      </c>
      <c r="AB43" s="199">
        <f>ПП!O31</f>
        <v>0</v>
      </c>
      <c r="AC43" s="223">
        <f>COUNTIFS('Отчет РПЗ(ПЗ)_ПЗИП'!$G:$G,Справочно!$C27,'Отчет РПЗ(ПЗ)_ПЗИП'!$AO:$AO,4,'Отчет РПЗ(ПЗ)_ПЗИП'!$AG:$AG,"&gt;0")</f>
        <v>0</v>
      </c>
      <c r="AD43" s="504">
        <f>ПП!P31</f>
        <v>0</v>
      </c>
      <c r="AE43" s="443">
        <f>SUMIFS('Отчет РПЗ(ПЗ)_ПЗИП'!$AG:$AG,'Отчет РПЗ(ПЗ)_ПЗИП'!$G:$G,Справочно!$C27,'Отчет РПЗ(ПЗ)_ПЗИП'!$AO:$AO,4,'Отчет РПЗ(ПЗ)_ПЗИП'!$AG:$AG,"&gt;0")</f>
        <v>0</v>
      </c>
      <c r="AF43" s="44">
        <f>ПП!Q31</f>
        <v>0</v>
      </c>
      <c r="AG43" s="223">
        <f>COUNTIFS('Отчет РПЗ(ПЗ)_ПЗИП'!$G:$G,Справочно!$C27,'Отчет РПЗ(ПЗ)_ПЗИП'!$AO:$AO,5,'Отчет РПЗ(ПЗ)_ПЗИП'!$AG:$AG,"&gt;0")</f>
        <v>0</v>
      </c>
      <c r="AH43" s="504">
        <f>ПП!R31</f>
        <v>0</v>
      </c>
      <c r="AI43" s="443">
        <f>SUMIFS('Отчет РПЗ(ПЗ)_ПЗИП'!$AG:$AG,'Отчет РПЗ(ПЗ)_ПЗИП'!$G:$G,Справочно!$C27,'Отчет РПЗ(ПЗ)_ПЗИП'!$AO:$AO,5,'Отчет РПЗ(ПЗ)_ПЗИП'!$AG:$AG,"&gt;0")</f>
        <v>0</v>
      </c>
      <c r="AJ43" s="44">
        <f>ПП!S31</f>
        <v>0</v>
      </c>
      <c r="AK43" s="223">
        <f>COUNTIFS('Отчет РПЗ(ПЗ)_ПЗИП'!$G:$G,Справочно!$C27,'Отчет РПЗ(ПЗ)_ПЗИП'!$AO:$AO,6,'Отчет РПЗ(ПЗ)_ПЗИП'!$AG:$AG,"&gt;0")</f>
        <v>0</v>
      </c>
      <c r="AL43" s="504">
        <f>ПП!T31</f>
        <v>0</v>
      </c>
      <c r="AM43" s="444">
        <f>SUMIFS('Отчет РПЗ(ПЗ)_ПЗИП'!$AG:$AG,'Отчет РПЗ(ПЗ)_ПЗИП'!$G:$G,Справочно!$C27,'Отчет РПЗ(ПЗ)_ПЗИП'!$AO:$AO,6,'Отчет РПЗ(ПЗ)_ПЗИП'!$AG:$AG,"&gt;0")</f>
        <v>0</v>
      </c>
      <c r="AN43" s="211">
        <f>ПП!U31</f>
        <v>0</v>
      </c>
      <c r="AO43" s="225">
        <f t="shared" si="7"/>
        <v>0</v>
      </c>
      <c r="AP43" s="503">
        <f t="shared" si="8"/>
        <v>0</v>
      </c>
      <c r="AQ43" s="399">
        <f t="shared" si="9"/>
        <v>0</v>
      </c>
      <c r="AR43" s="199">
        <f>ПП!W31</f>
        <v>0</v>
      </c>
      <c r="AS43" s="180">
        <f>COUNTIFS('Отчет РПЗ(ПЗ)_ПЗИП'!$G:$G,Справочно!$C27,'Отчет РПЗ(ПЗ)_ПЗИП'!$AO:$AO,7,'Отчет РПЗ(ПЗ)_ПЗИП'!$AG:$AG,"&gt;0")</f>
        <v>0</v>
      </c>
      <c r="AT43" s="504">
        <f>ПП!X31</f>
        <v>0</v>
      </c>
      <c r="AU43" s="445">
        <f>SUMIFS('Отчет РПЗ(ПЗ)_ПЗИП'!$AG:$AG,'Отчет РПЗ(ПЗ)_ПЗИП'!$G:$G,Справочно!$C27,'Отчет РПЗ(ПЗ)_ПЗИП'!$AO:$AO,7,'Отчет РПЗ(ПЗ)_ПЗИП'!$AG:$AG,"&gt;0")</f>
        <v>0</v>
      </c>
      <c r="AV43" s="44">
        <f>ПП!Y31</f>
        <v>0</v>
      </c>
      <c r="AW43" s="180">
        <f>COUNTIFS('Отчет РПЗ(ПЗ)_ПЗИП'!$G:$G,Справочно!$C27,'Отчет РПЗ(ПЗ)_ПЗИП'!$AO:$AO,8,'Отчет РПЗ(ПЗ)_ПЗИП'!$AG:$AG,"&gt;0")</f>
        <v>0</v>
      </c>
      <c r="AX43" s="504">
        <f>ПП!Z31</f>
        <v>0</v>
      </c>
      <c r="AY43" s="445">
        <f>SUMIFS('Отчет РПЗ(ПЗ)_ПЗИП'!$AG:$AG,'Отчет РПЗ(ПЗ)_ПЗИП'!$G:$G,Справочно!$C27,'Отчет РПЗ(ПЗ)_ПЗИП'!$AO:$AO,8,'Отчет РПЗ(ПЗ)_ПЗИП'!$AG:$AG,"&gt;0")</f>
        <v>0</v>
      </c>
      <c r="AZ43" s="44">
        <f>ПП!AA31</f>
        <v>0</v>
      </c>
      <c r="BA43" s="180">
        <f>COUNTIFS('Отчет РПЗ(ПЗ)_ПЗИП'!$G:$G,Справочно!$C27,'Отчет РПЗ(ПЗ)_ПЗИП'!$AO:$AO,9,'Отчет РПЗ(ПЗ)_ПЗИП'!$AG:$AG,"&gt;0")</f>
        <v>0</v>
      </c>
      <c r="BB43" s="504">
        <f>ПП!AB31</f>
        <v>0</v>
      </c>
      <c r="BC43" s="446">
        <f>SUMIFS('Отчет РПЗ(ПЗ)_ПЗИП'!$AG:$AG,'Отчет РПЗ(ПЗ)_ПЗИП'!$G:$G,Справочно!$C27,'Отчет РПЗ(ПЗ)_ПЗИП'!$AO:$AO,9,'Отчет РПЗ(ПЗ)_ПЗИП'!$AG:$AG,"&gt;0")</f>
        <v>0</v>
      </c>
      <c r="BD43" s="211">
        <f>ПП!AC31</f>
        <v>0</v>
      </c>
      <c r="BE43" s="220">
        <f t="shared" si="10"/>
        <v>0</v>
      </c>
      <c r="BF43" s="503">
        <f t="shared" si="11"/>
        <v>0</v>
      </c>
      <c r="BG43" s="402">
        <f t="shared" si="12"/>
        <v>0</v>
      </c>
      <c r="BH43" s="199">
        <f>ПП!AE31</f>
        <v>0</v>
      </c>
      <c r="BI43" s="217">
        <f>COUNTIFS('Отчет РПЗ(ПЗ)_ПЗИП'!$G:$G,Справочно!$C27,'Отчет РПЗ(ПЗ)_ПЗИП'!$AO:$AO,10,'Отчет РПЗ(ПЗ)_ПЗИП'!$AG:$AG,"&gt;0")</f>
        <v>0</v>
      </c>
      <c r="BJ43" s="504">
        <f>ПП!AF31</f>
        <v>0</v>
      </c>
      <c r="BK43" s="447">
        <f>SUMIFS('Отчет РПЗ(ПЗ)_ПЗИП'!$AG:$AG,'Отчет РПЗ(ПЗ)_ПЗИП'!$G:$G,Справочно!$C27,'Отчет РПЗ(ПЗ)_ПЗИП'!$AO:$AO,10,'Отчет РПЗ(ПЗ)_ПЗИП'!$AG:$AG,"&gt;0")</f>
        <v>0</v>
      </c>
      <c r="BL43" s="44">
        <f>ПП!AG31</f>
        <v>0</v>
      </c>
      <c r="BM43" s="217">
        <f>COUNTIFS('Отчет РПЗ(ПЗ)_ПЗИП'!$G:$G,Справочно!$C27,'Отчет РПЗ(ПЗ)_ПЗИП'!$AO:$AO,11,'Отчет РПЗ(ПЗ)_ПЗИП'!$AG:$AG,"&gt;0")</f>
        <v>0</v>
      </c>
      <c r="BN43" s="504">
        <f>ПП!AH31</f>
        <v>0</v>
      </c>
      <c r="BO43" s="447">
        <f>SUMIFS('Отчет РПЗ(ПЗ)_ПЗИП'!$AG:$AG,'Отчет РПЗ(ПЗ)_ПЗИП'!$G:$G,Справочно!$C27,'Отчет РПЗ(ПЗ)_ПЗИП'!$AO:$AO,11,'Отчет РПЗ(ПЗ)_ПЗИП'!$AG:$AG,"&gt;0")</f>
        <v>0</v>
      </c>
      <c r="BP43" s="44">
        <f>ПП!AI31</f>
        <v>0</v>
      </c>
      <c r="BQ43" s="217">
        <f>COUNTIFS('Отчет РПЗ(ПЗ)_ПЗИП'!$G:$G,Справочно!$C27,'Отчет РПЗ(ПЗ)_ПЗИП'!$AO:$AO,12,'Отчет РПЗ(ПЗ)_ПЗИП'!$AG:$AG,"&gt;0")</f>
        <v>0</v>
      </c>
      <c r="BR43" s="504">
        <f>ПП!AJ31</f>
        <v>0</v>
      </c>
      <c r="BS43" s="448">
        <f>SUMIFS('Отчет РПЗ(ПЗ)_ПЗИП'!$AG:$AG,'Отчет РПЗ(ПЗ)_ПЗИП'!$G:$G,Справочно!$C27,'Отчет РПЗ(ПЗ)_ПЗИП'!$AO:$AO,12,'Отчет РПЗ(ПЗ)_ПЗИП'!$AG:$AG,"&gt;0")</f>
        <v>0</v>
      </c>
      <c r="BT43" s="211">
        <f>ПП!AK31</f>
        <v>0</v>
      </c>
      <c r="BU43" s="219">
        <f t="shared" si="13"/>
        <v>0</v>
      </c>
      <c r="BV43" s="503">
        <f t="shared" si="14"/>
        <v>0</v>
      </c>
      <c r="BW43" s="405">
        <f t="shared" si="15"/>
        <v>0</v>
      </c>
    </row>
    <row r="44" spans="2:75" ht="13.5" thickBot="1" x14ac:dyDescent="0.25">
      <c r="B44" s="86" t="s">
        <v>171</v>
      </c>
      <c r="C44" s="96">
        <f>ПП!B32</f>
        <v>0</v>
      </c>
      <c r="D44" s="491">
        <f>ПП!C32</f>
        <v>0</v>
      </c>
      <c r="E44" s="66">
        <f>COUNTIFS('Отчет РПЗ(ПЗ)_ПЗИП'!$G:$G,Справочно!$C28,'Отчет РПЗ(ПЗ)_ПЗИП'!AG:AG, "&gt;0")</f>
        <v>0</v>
      </c>
      <c r="F44" s="492" t="e">
        <f t="shared" si="2"/>
        <v>#DIV/0!</v>
      </c>
      <c r="G44" s="493">
        <f>ПП!D32</f>
        <v>0</v>
      </c>
      <c r="H44" s="494">
        <f>ПП!E32</f>
        <v>0</v>
      </c>
      <c r="I44" s="495">
        <f>SUMIF('Отчет РПЗ(ПЗ)_ПЗИП'!$G:$G,Справочно!$C28,'Отчет РПЗ(ПЗ)_ПЗИП'!$AG:$AG)</f>
        <v>0</v>
      </c>
      <c r="J44" s="492" t="e">
        <f t="shared" si="3"/>
        <v>#DIV/0!</v>
      </c>
      <c r="K44" s="64"/>
      <c r="L44" s="199">
        <f>ПП!G32</f>
        <v>0</v>
      </c>
      <c r="M44" s="184">
        <f>COUNTIFS('Отчет РПЗ(ПЗ)_ПЗИП'!$G:$G,Справочно!$C28,'Отчет РПЗ(ПЗ)_ПЗИП'!$AO:$AO,1,'Отчет РПЗ(ПЗ)_ПЗИП'!$AG:$AG,"&gt;0")</f>
        <v>0</v>
      </c>
      <c r="N44" s="504">
        <f>ПП!H32</f>
        <v>0</v>
      </c>
      <c r="O44" s="406">
        <f>SUMIFS('Отчет РПЗ(ПЗ)_ПЗИП'!$AG:$AG,'Отчет РПЗ(ПЗ)_ПЗИП'!$G:$G,Справочно!$C28,'Отчет РПЗ(ПЗ)_ПЗИП'!$AO:$AO,1,'Отчет РПЗ(ПЗ)_ПЗИП'!$AG:$AG,"&gt;0")</f>
        <v>0</v>
      </c>
      <c r="P44" s="44">
        <f>ПП!I32</f>
        <v>0</v>
      </c>
      <c r="Q44" s="184">
        <f>COUNTIFS('Отчет РПЗ(ПЗ)_ПЗИП'!$G:$G,Справочно!$C28,'Отчет РПЗ(ПЗ)_ПЗИП'!$AO:$AO,2,'Отчет РПЗ(ПЗ)_ПЗИП'!$AG:$AG,"&gt;0")</f>
        <v>0</v>
      </c>
      <c r="R44" s="504">
        <f>ПП!J32</f>
        <v>0</v>
      </c>
      <c r="S44" s="406">
        <f>SUMIFS('Отчет РПЗ(ПЗ)_ПЗИП'!$AG:$AG,'Отчет РПЗ(ПЗ)_ПЗИП'!$G:$G,Справочно!$C28,'Отчет РПЗ(ПЗ)_ПЗИП'!$AO:$AO,2,'Отчет РПЗ(ПЗ)_ПЗИП'!$AG:$AG,"&gt;0")</f>
        <v>0</v>
      </c>
      <c r="T44" s="44">
        <f>ПП!K32</f>
        <v>0</v>
      </c>
      <c r="U44" s="184">
        <f>COUNTIFS('Отчет РПЗ(ПЗ)_ПЗИП'!$G:$G,Справочно!$C28,'Отчет РПЗ(ПЗ)_ПЗИП'!$AO:$AO,3,'Отчет РПЗ(ПЗ)_ПЗИП'!$AG:$AG,"&gt;0")</f>
        <v>0</v>
      </c>
      <c r="V44" s="504">
        <f>ПП!L32</f>
        <v>0</v>
      </c>
      <c r="W44" s="442">
        <f>SUMIFS('Отчет РПЗ(ПЗ)_ПЗИП'!$AG:$AG,'Отчет РПЗ(ПЗ)_ПЗИП'!$G:$G,Справочно!$C28,'Отчет РПЗ(ПЗ)_ПЗИП'!$AO:$AO,3,'Отчет РПЗ(ПЗ)_ПЗИП'!$AG:$AG,"&gt;0")</f>
        <v>0</v>
      </c>
      <c r="X44" s="211">
        <f>ПП!M32</f>
        <v>0</v>
      </c>
      <c r="Y44" s="212">
        <f t="shared" si="4"/>
        <v>0</v>
      </c>
      <c r="Z44" s="503">
        <f t="shared" si="5"/>
        <v>0</v>
      </c>
      <c r="AA44" s="396">
        <f t="shared" si="6"/>
        <v>0</v>
      </c>
      <c r="AB44" s="199">
        <f>ПП!O32</f>
        <v>0</v>
      </c>
      <c r="AC44" s="223">
        <f>COUNTIFS('Отчет РПЗ(ПЗ)_ПЗИП'!$G:$G,Справочно!$C28,'Отчет РПЗ(ПЗ)_ПЗИП'!$AO:$AO,4,'Отчет РПЗ(ПЗ)_ПЗИП'!$AG:$AG,"&gt;0")</f>
        <v>0</v>
      </c>
      <c r="AD44" s="504">
        <f>ПП!P32</f>
        <v>0</v>
      </c>
      <c r="AE44" s="443">
        <f>SUMIFS('Отчет РПЗ(ПЗ)_ПЗИП'!$AG:$AG,'Отчет РПЗ(ПЗ)_ПЗИП'!$G:$G,Справочно!$C28,'Отчет РПЗ(ПЗ)_ПЗИП'!$AO:$AO,4,'Отчет РПЗ(ПЗ)_ПЗИП'!$AG:$AG,"&gt;0")</f>
        <v>0</v>
      </c>
      <c r="AF44" s="44">
        <f>ПП!Q32</f>
        <v>0</v>
      </c>
      <c r="AG44" s="223">
        <f>COUNTIFS('Отчет РПЗ(ПЗ)_ПЗИП'!$G:$G,Справочно!$C28,'Отчет РПЗ(ПЗ)_ПЗИП'!$AO:$AO,5,'Отчет РПЗ(ПЗ)_ПЗИП'!$AG:$AG,"&gt;0")</f>
        <v>0</v>
      </c>
      <c r="AH44" s="504">
        <f>ПП!R32</f>
        <v>0</v>
      </c>
      <c r="AI44" s="443">
        <f>SUMIFS('Отчет РПЗ(ПЗ)_ПЗИП'!$AG:$AG,'Отчет РПЗ(ПЗ)_ПЗИП'!$G:$G,Справочно!$C28,'Отчет РПЗ(ПЗ)_ПЗИП'!$AO:$AO,5,'Отчет РПЗ(ПЗ)_ПЗИП'!$AG:$AG,"&gt;0")</f>
        <v>0</v>
      </c>
      <c r="AJ44" s="44">
        <f>ПП!S32</f>
        <v>0</v>
      </c>
      <c r="AK44" s="223">
        <f>COUNTIFS('Отчет РПЗ(ПЗ)_ПЗИП'!$G:$G,Справочно!$C28,'Отчет РПЗ(ПЗ)_ПЗИП'!$AO:$AO,6,'Отчет РПЗ(ПЗ)_ПЗИП'!$AG:$AG,"&gt;0")</f>
        <v>0</v>
      </c>
      <c r="AL44" s="504">
        <f>ПП!T32</f>
        <v>0</v>
      </c>
      <c r="AM44" s="444">
        <f>SUMIFS('Отчет РПЗ(ПЗ)_ПЗИП'!$AG:$AG,'Отчет РПЗ(ПЗ)_ПЗИП'!$G:$G,Справочно!$C28,'Отчет РПЗ(ПЗ)_ПЗИП'!$AO:$AO,6,'Отчет РПЗ(ПЗ)_ПЗИП'!$AG:$AG,"&gt;0")</f>
        <v>0</v>
      </c>
      <c r="AN44" s="211">
        <f>ПП!U32</f>
        <v>0</v>
      </c>
      <c r="AO44" s="225">
        <f t="shared" si="7"/>
        <v>0</v>
      </c>
      <c r="AP44" s="503">
        <f t="shared" si="8"/>
        <v>0</v>
      </c>
      <c r="AQ44" s="399">
        <f t="shared" si="9"/>
        <v>0</v>
      </c>
      <c r="AR44" s="199">
        <f>ПП!W32</f>
        <v>0</v>
      </c>
      <c r="AS44" s="180">
        <f>COUNTIFS('Отчет РПЗ(ПЗ)_ПЗИП'!$G:$G,Справочно!$C28,'Отчет РПЗ(ПЗ)_ПЗИП'!$AO:$AO,7,'Отчет РПЗ(ПЗ)_ПЗИП'!$AG:$AG,"&gt;0")</f>
        <v>0</v>
      </c>
      <c r="AT44" s="504">
        <f>ПП!X32</f>
        <v>0</v>
      </c>
      <c r="AU44" s="445">
        <f>SUMIFS('Отчет РПЗ(ПЗ)_ПЗИП'!$AG:$AG,'Отчет РПЗ(ПЗ)_ПЗИП'!$G:$G,Справочно!$C28,'Отчет РПЗ(ПЗ)_ПЗИП'!$AO:$AO,7,'Отчет РПЗ(ПЗ)_ПЗИП'!$AG:$AG,"&gt;0")</f>
        <v>0</v>
      </c>
      <c r="AV44" s="44">
        <f>ПП!Y32</f>
        <v>0</v>
      </c>
      <c r="AW44" s="180">
        <f>COUNTIFS('Отчет РПЗ(ПЗ)_ПЗИП'!$G:$G,Справочно!$C28,'Отчет РПЗ(ПЗ)_ПЗИП'!$AO:$AO,8,'Отчет РПЗ(ПЗ)_ПЗИП'!$AG:$AG,"&gt;0")</f>
        <v>0</v>
      </c>
      <c r="AX44" s="504">
        <f>ПП!Z32</f>
        <v>0</v>
      </c>
      <c r="AY44" s="445">
        <f>SUMIFS('Отчет РПЗ(ПЗ)_ПЗИП'!$AG:$AG,'Отчет РПЗ(ПЗ)_ПЗИП'!$G:$G,Справочно!$C28,'Отчет РПЗ(ПЗ)_ПЗИП'!$AO:$AO,8,'Отчет РПЗ(ПЗ)_ПЗИП'!$AG:$AG,"&gt;0")</f>
        <v>0</v>
      </c>
      <c r="AZ44" s="44">
        <f>ПП!AA32</f>
        <v>0</v>
      </c>
      <c r="BA44" s="180">
        <f>COUNTIFS('Отчет РПЗ(ПЗ)_ПЗИП'!$G:$G,Справочно!$C28,'Отчет РПЗ(ПЗ)_ПЗИП'!$AO:$AO,9,'Отчет РПЗ(ПЗ)_ПЗИП'!$AG:$AG,"&gt;0")</f>
        <v>0</v>
      </c>
      <c r="BB44" s="504">
        <f>ПП!AB32</f>
        <v>0</v>
      </c>
      <c r="BC44" s="446">
        <f>SUMIFS('Отчет РПЗ(ПЗ)_ПЗИП'!$AG:$AG,'Отчет РПЗ(ПЗ)_ПЗИП'!$G:$G,Справочно!$C28,'Отчет РПЗ(ПЗ)_ПЗИП'!$AO:$AO,9,'Отчет РПЗ(ПЗ)_ПЗИП'!$AG:$AG,"&gt;0")</f>
        <v>0</v>
      </c>
      <c r="BD44" s="211">
        <f>ПП!AC32</f>
        <v>0</v>
      </c>
      <c r="BE44" s="220">
        <f t="shared" si="10"/>
        <v>0</v>
      </c>
      <c r="BF44" s="503">
        <f t="shared" si="11"/>
        <v>0</v>
      </c>
      <c r="BG44" s="402">
        <f t="shared" si="12"/>
        <v>0</v>
      </c>
      <c r="BH44" s="199">
        <f>ПП!AE32</f>
        <v>0</v>
      </c>
      <c r="BI44" s="217">
        <f>COUNTIFS('Отчет РПЗ(ПЗ)_ПЗИП'!$G:$G,Справочно!$C28,'Отчет РПЗ(ПЗ)_ПЗИП'!$AO:$AO,10,'Отчет РПЗ(ПЗ)_ПЗИП'!$AG:$AG,"&gt;0")</f>
        <v>0</v>
      </c>
      <c r="BJ44" s="504">
        <f>ПП!AF32</f>
        <v>0</v>
      </c>
      <c r="BK44" s="447">
        <f>SUMIFS('Отчет РПЗ(ПЗ)_ПЗИП'!$AG:$AG,'Отчет РПЗ(ПЗ)_ПЗИП'!$G:$G,Справочно!$C28,'Отчет РПЗ(ПЗ)_ПЗИП'!$AO:$AO,10,'Отчет РПЗ(ПЗ)_ПЗИП'!$AG:$AG,"&gt;0")</f>
        <v>0</v>
      </c>
      <c r="BL44" s="44">
        <f>ПП!AG32</f>
        <v>0</v>
      </c>
      <c r="BM44" s="217">
        <f>COUNTIFS('Отчет РПЗ(ПЗ)_ПЗИП'!$G:$G,Справочно!$C28,'Отчет РПЗ(ПЗ)_ПЗИП'!$AO:$AO,11,'Отчет РПЗ(ПЗ)_ПЗИП'!$AG:$AG,"&gt;0")</f>
        <v>0</v>
      </c>
      <c r="BN44" s="504">
        <f>ПП!AH32</f>
        <v>0</v>
      </c>
      <c r="BO44" s="447">
        <f>SUMIFS('Отчет РПЗ(ПЗ)_ПЗИП'!$AG:$AG,'Отчет РПЗ(ПЗ)_ПЗИП'!$G:$G,Справочно!$C28,'Отчет РПЗ(ПЗ)_ПЗИП'!$AO:$AO,11,'Отчет РПЗ(ПЗ)_ПЗИП'!$AG:$AG,"&gt;0")</f>
        <v>0</v>
      </c>
      <c r="BP44" s="44">
        <f>ПП!AI32</f>
        <v>0</v>
      </c>
      <c r="BQ44" s="217">
        <f>COUNTIFS('Отчет РПЗ(ПЗ)_ПЗИП'!$G:$G,Справочно!$C28,'Отчет РПЗ(ПЗ)_ПЗИП'!$AO:$AO,12,'Отчет РПЗ(ПЗ)_ПЗИП'!$AG:$AG,"&gt;0")</f>
        <v>0</v>
      </c>
      <c r="BR44" s="504">
        <f>ПП!AJ32</f>
        <v>0</v>
      </c>
      <c r="BS44" s="448">
        <f>SUMIFS('Отчет РПЗ(ПЗ)_ПЗИП'!$AG:$AG,'Отчет РПЗ(ПЗ)_ПЗИП'!$G:$G,Справочно!$C28,'Отчет РПЗ(ПЗ)_ПЗИП'!$AO:$AO,12,'Отчет РПЗ(ПЗ)_ПЗИП'!$AG:$AG,"&gt;0")</f>
        <v>0</v>
      </c>
      <c r="BT44" s="211">
        <f>ПП!AK32</f>
        <v>0</v>
      </c>
      <c r="BU44" s="219">
        <f t="shared" si="13"/>
        <v>0</v>
      </c>
      <c r="BV44" s="503">
        <f t="shared" si="14"/>
        <v>0</v>
      </c>
      <c r="BW44" s="405">
        <f t="shared" si="15"/>
        <v>0</v>
      </c>
    </row>
    <row r="45" spans="2:75" ht="13.5" thickBot="1" x14ac:dyDescent="0.25">
      <c r="B45" s="86" t="s">
        <v>259</v>
      </c>
      <c r="C45" s="96">
        <f>ПП!B33</f>
        <v>0</v>
      </c>
      <c r="D45" s="491">
        <f>ПП!C33</f>
        <v>0</v>
      </c>
      <c r="E45" s="66">
        <f>COUNTIFS('Отчет РПЗ(ПЗ)_ПЗИП'!$G:$G,Справочно!$C29,'Отчет РПЗ(ПЗ)_ПЗИП'!AG:AG, "&gt;0")</f>
        <v>0</v>
      </c>
      <c r="F45" s="492" t="e">
        <f t="shared" si="2"/>
        <v>#DIV/0!</v>
      </c>
      <c r="G45" s="493">
        <f>ПП!D33</f>
        <v>0</v>
      </c>
      <c r="H45" s="494">
        <f>ПП!E33</f>
        <v>0</v>
      </c>
      <c r="I45" s="495">
        <f>SUMIF('Отчет РПЗ(ПЗ)_ПЗИП'!$G:$G,Справочно!$C29,'Отчет РПЗ(ПЗ)_ПЗИП'!$AG:$AG)</f>
        <v>0</v>
      </c>
      <c r="J45" s="492" t="e">
        <f t="shared" si="3"/>
        <v>#DIV/0!</v>
      </c>
      <c r="K45" s="64"/>
      <c r="L45" s="199">
        <f>ПП!G33</f>
        <v>0</v>
      </c>
      <c r="M45" s="184">
        <f>COUNTIFS('Отчет РПЗ(ПЗ)_ПЗИП'!$G:$G,Справочно!$C29,'Отчет РПЗ(ПЗ)_ПЗИП'!$AO:$AO,1,'Отчет РПЗ(ПЗ)_ПЗИП'!$AG:$AG,"&gt;0")</f>
        <v>0</v>
      </c>
      <c r="N45" s="504">
        <f>ПП!H33</f>
        <v>0</v>
      </c>
      <c r="O45" s="406">
        <f>SUMIFS('Отчет РПЗ(ПЗ)_ПЗИП'!$AG:$AG,'Отчет РПЗ(ПЗ)_ПЗИП'!$G:$G,Справочно!$C29,'Отчет РПЗ(ПЗ)_ПЗИП'!$AO:$AO,1,'Отчет РПЗ(ПЗ)_ПЗИП'!$AG:$AG,"&gt;0")</f>
        <v>0</v>
      </c>
      <c r="P45" s="44">
        <f>ПП!I33</f>
        <v>0</v>
      </c>
      <c r="Q45" s="184">
        <f>COUNTIFS('Отчет РПЗ(ПЗ)_ПЗИП'!$G:$G,Справочно!$C29,'Отчет РПЗ(ПЗ)_ПЗИП'!$AO:$AO,2,'Отчет РПЗ(ПЗ)_ПЗИП'!$AG:$AG,"&gt;0")</f>
        <v>0</v>
      </c>
      <c r="R45" s="504">
        <f>ПП!J33</f>
        <v>0</v>
      </c>
      <c r="S45" s="406">
        <f>SUMIFS('Отчет РПЗ(ПЗ)_ПЗИП'!$AG:$AG,'Отчет РПЗ(ПЗ)_ПЗИП'!$G:$G,Справочно!$C29,'Отчет РПЗ(ПЗ)_ПЗИП'!$AO:$AO,2,'Отчет РПЗ(ПЗ)_ПЗИП'!$AG:$AG,"&gt;0")</f>
        <v>0</v>
      </c>
      <c r="T45" s="44">
        <f>ПП!K33</f>
        <v>0</v>
      </c>
      <c r="U45" s="184">
        <f>COUNTIFS('Отчет РПЗ(ПЗ)_ПЗИП'!$G:$G,Справочно!$C29,'Отчет РПЗ(ПЗ)_ПЗИП'!$AO:$AO,3,'Отчет РПЗ(ПЗ)_ПЗИП'!$AG:$AG,"&gt;0")</f>
        <v>0</v>
      </c>
      <c r="V45" s="504">
        <f>ПП!L33</f>
        <v>0</v>
      </c>
      <c r="W45" s="442">
        <f>SUMIFS('Отчет РПЗ(ПЗ)_ПЗИП'!$AG:$AG,'Отчет РПЗ(ПЗ)_ПЗИП'!$G:$G,Справочно!$C29,'Отчет РПЗ(ПЗ)_ПЗИП'!$AO:$AO,3,'Отчет РПЗ(ПЗ)_ПЗИП'!$AG:$AG,"&gt;0")</f>
        <v>0</v>
      </c>
      <c r="X45" s="211">
        <f>ПП!M33</f>
        <v>0</v>
      </c>
      <c r="Y45" s="212">
        <f t="shared" si="4"/>
        <v>0</v>
      </c>
      <c r="Z45" s="503">
        <f t="shared" si="5"/>
        <v>0</v>
      </c>
      <c r="AA45" s="396">
        <f t="shared" si="6"/>
        <v>0</v>
      </c>
      <c r="AB45" s="199">
        <f>ПП!O33</f>
        <v>0</v>
      </c>
      <c r="AC45" s="223">
        <f>COUNTIFS('Отчет РПЗ(ПЗ)_ПЗИП'!$G:$G,Справочно!$C29,'Отчет РПЗ(ПЗ)_ПЗИП'!$AO:$AO,4,'Отчет РПЗ(ПЗ)_ПЗИП'!$AG:$AG,"&gt;0")</f>
        <v>0</v>
      </c>
      <c r="AD45" s="504">
        <f>ПП!P33</f>
        <v>0</v>
      </c>
      <c r="AE45" s="443">
        <f>SUMIFS('Отчет РПЗ(ПЗ)_ПЗИП'!$AG:$AG,'Отчет РПЗ(ПЗ)_ПЗИП'!$G:$G,Справочно!$C29,'Отчет РПЗ(ПЗ)_ПЗИП'!$AO:$AO,4,'Отчет РПЗ(ПЗ)_ПЗИП'!$AG:$AG,"&gt;0")</f>
        <v>0</v>
      </c>
      <c r="AF45" s="44">
        <f>ПП!Q33</f>
        <v>0</v>
      </c>
      <c r="AG45" s="223">
        <f>COUNTIFS('Отчет РПЗ(ПЗ)_ПЗИП'!$G:$G,Справочно!$C29,'Отчет РПЗ(ПЗ)_ПЗИП'!$AO:$AO,5,'Отчет РПЗ(ПЗ)_ПЗИП'!$AG:$AG,"&gt;0")</f>
        <v>0</v>
      </c>
      <c r="AH45" s="504">
        <f>ПП!R33</f>
        <v>0</v>
      </c>
      <c r="AI45" s="443">
        <f>SUMIFS('Отчет РПЗ(ПЗ)_ПЗИП'!$AG:$AG,'Отчет РПЗ(ПЗ)_ПЗИП'!$G:$G,Справочно!$C29,'Отчет РПЗ(ПЗ)_ПЗИП'!$AO:$AO,5,'Отчет РПЗ(ПЗ)_ПЗИП'!$AG:$AG,"&gt;0")</f>
        <v>0</v>
      </c>
      <c r="AJ45" s="44">
        <f>ПП!S33</f>
        <v>0</v>
      </c>
      <c r="AK45" s="223">
        <f>COUNTIFS('Отчет РПЗ(ПЗ)_ПЗИП'!$G:$G,Справочно!$C29,'Отчет РПЗ(ПЗ)_ПЗИП'!$AO:$AO,6,'Отчет РПЗ(ПЗ)_ПЗИП'!$AG:$AG,"&gt;0")</f>
        <v>0</v>
      </c>
      <c r="AL45" s="504">
        <f>ПП!T33</f>
        <v>0</v>
      </c>
      <c r="AM45" s="444">
        <f>SUMIFS('Отчет РПЗ(ПЗ)_ПЗИП'!$AG:$AG,'Отчет РПЗ(ПЗ)_ПЗИП'!$G:$G,Справочно!$C29,'Отчет РПЗ(ПЗ)_ПЗИП'!$AO:$AO,6,'Отчет РПЗ(ПЗ)_ПЗИП'!$AG:$AG,"&gt;0")</f>
        <v>0</v>
      </c>
      <c r="AN45" s="211">
        <f>ПП!U33</f>
        <v>0</v>
      </c>
      <c r="AO45" s="225">
        <f t="shared" si="7"/>
        <v>0</v>
      </c>
      <c r="AP45" s="503">
        <f t="shared" si="8"/>
        <v>0</v>
      </c>
      <c r="AQ45" s="399">
        <f t="shared" si="9"/>
        <v>0</v>
      </c>
      <c r="AR45" s="199">
        <f>ПП!W33</f>
        <v>0</v>
      </c>
      <c r="AS45" s="180">
        <f>COUNTIFS('Отчет РПЗ(ПЗ)_ПЗИП'!$G:$G,Справочно!$C29,'Отчет РПЗ(ПЗ)_ПЗИП'!$AO:$AO,7,'Отчет РПЗ(ПЗ)_ПЗИП'!$AG:$AG,"&gt;0")</f>
        <v>0</v>
      </c>
      <c r="AT45" s="504">
        <f>ПП!X33</f>
        <v>0</v>
      </c>
      <c r="AU45" s="445">
        <f>SUMIFS('Отчет РПЗ(ПЗ)_ПЗИП'!$AG:$AG,'Отчет РПЗ(ПЗ)_ПЗИП'!$G:$G,Справочно!$C29,'Отчет РПЗ(ПЗ)_ПЗИП'!$AO:$AO,7,'Отчет РПЗ(ПЗ)_ПЗИП'!$AG:$AG,"&gt;0")</f>
        <v>0</v>
      </c>
      <c r="AV45" s="44">
        <f>ПП!Y33</f>
        <v>0</v>
      </c>
      <c r="AW45" s="180">
        <f>COUNTIFS('Отчет РПЗ(ПЗ)_ПЗИП'!$G:$G,Справочно!$C29,'Отчет РПЗ(ПЗ)_ПЗИП'!$AO:$AO,8,'Отчет РПЗ(ПЗ)_ПЗИП'!$AG:$AG,"&gt;0")</f>
        <v>0</v>
      </c>
      <c r="AX45" s="504">
        <f>ПП!Z33</f>
        <v>0</v>
      </c>
      <c r="AY45" s="445">
        <f>SUMIFS('Отчет РПЗ(ПЗ)_ПЗИП'!$AG:$AG,'Отчет РПЗ(ПЗ)_ПЗИП'!$G:$G,Справочно!$C29,'Отчет РПЗ(ПЗ)_ПЗИП'!$AO:$AO,8,'Отчет РПЗ(ПЗ)_ПЗИП'!$AG:$AG,"&gt;0")</f>
        <v>0</v>
      </c>
      <c r="AZ45" s="44">
        <f>ПП!AA33</f>
        <v>0</v>
      </c>
      <c r="BA45" s="180">
        <f>COUNTIFS('Отчет РПЗ(ПЗ)_ПЗИП'!$G:$G,Справочно!$C29,'Отчет РПЗ(ПЗ)_ПЗИП'!$AO:$AO,9,'Отчет РПЗ(ПЗ)_ПЗИП'!$AG:$AG,"&gt;0")</f>
        <v>0</v>
      </c>
      <c r="BB45" s="504">
        <f>ПП!AB33</f>
        <v>0</v>
      </c>
      <c r="BC45" s="446">
        <f>SUMIFS('Отчет РПЗ(ПЗ)_ПЗИП'!$AG:$AG,'Отчет РПЗ(ПЗ)_ПЗИП'!$G:$G,Справочно!$C29,'Отчет РПЗ(ПЗ)_ПЗИП'!$AO:$AO,9,'Отчет РПЗ(ПЗ)_ПЗИП'!$AG:$AG,"&gt;0")</f>
        <v>0</v>
      </c>
      <c r="BD45" s="211">
        <f>ПП!AC33</f>
        <v>0</v>
      </c>
      <c r="BE45" s="220">
        <f t="shared" si="10"/>
        <v>0</v>
      </c>
      <c r="BF45" s="503">
        <f t="shared" si="11"/>
        <v>0</v>
      </c>
      <c r="BG45" s="402">
        <f t="shared" si="12"/>
        <v>0</v>
      </c>
      <c r="BH45" s="199">
        <f>ПП!AE33</f>
        <v>0</v>
      </c>
      <c r="BI45" s="217">
        <f>COUNTIFS('Отчет РПЗ(ПЗ)_ПЗИП'!$G:$G,Справочно!$C29,'Отчет РПЗ(ПЗ)_ПЗИП'!$AO:$AO,10,'Отчет РПЗ(ПЗ)_ПЗИП'!$AG:$AG,"&gt;0")</f>
        <v>0</v>
      </c>
      <c r="BJ45" s="504">
        <f>ПП!AF33</f>
        <v>0</v>
      </c>
      <c r="BK45" s="447">
        <f>SUMIFS('Отчет РПЗ(ПЗ)_ПЗИП'!$AG:$AG,'Отчет РПЗ(ПЗ)_ПЗИП'!$G:$G,Справочно!$C29,'Отчет РПЗ(ПЗ)_ПЗИП'!$AO:$AO,10,'Отчет РПЗ(ПЗ)_ПЗИП'!$AG:$AG,"&gt;0")</f>
        <v>0</v>
      </c>
      <c r="BL45" s="44">
        <f>ПП!AG33</f>
        <v>0</v>
      </c>
      <c r="BM45" s="217">
        <f>COUNTIFS('Отчет РПЗ(ПЗ)_ПЗИП'!$G:$G,Справочно!$C29,'Отчет РПЗ(ПЗ)_ПЗИП'!$AO:$AO,11,'Отчет РПЗ(ПЗ)_ПЗИП'!$AG:$AG,"&gt;0")</f>
        <v>0</v>
      </c>
      <c r="BN45" s="504">
        <f>ПП!AH33</f>
        <v>0</v>
      </c>
      <c r="BO45" s="447">
        <f>SUMIFS('Отчет РПЗ(ПЗ)_ПЗИП'!$AG:$AG,'Отчет РПЗ(ПЗ)_ПЗИП'!$G:$G,Справочно!$C29,'Отчет РПЗ(ПЗ)_ПЗИП'!$AO:$AO,11,'Отчет РПЗ(ПЗ)_ПЗИП'!$AG:$AG,"&gt;0")</f>
        <v>0</v>
      </c>
      <c r="BP45" s="44">
        <f>ПП!AI33</f>
        <v>0</v>
      </c>
      <c r="BQ45" s="217">
        <f>COUNTIFS('Отчет РПЗ(ПЗ)_ПЗИП'!$G:$G,Справочно!$C29,'Отчет РПЗ(ПЗ)_ПЗИП'!$AO:$AO,12,'Отчет РПЗ(ПЗ)_ПЗИП'!$AG:$AG,"&gt;0")</f>
        <v>0</v>
      </c>
      <c r="BR45" s="504">
        <f>ПП!AJ33</f>
        <v>0</v>
      </c>
      <c r="BS45" s="448">
        <f>SUMIFS('Отчет РПЗ(ПЗ)_ПЗИП'!$AG:$AG,'Отчет РПЗ(ПЗ)_ПЗИП'!$G:$G,Справочно!$C29,'Отчет РПЗ(ПЗ)_ПЗИП'!$AO:$AO,12,'Отчет РПЗ(ПЗ)_ПЗИП'!$AG:$AG,"&gt;0")</f>
        <v>0</v>
      </c>
      <c r="BT45" s="211">
        <f>ПП!AK33</f>
        <v>0</v>
      </c>
      <c r="BU45" s="219">
        <f t="shared" si="13"/>
        <v>0</v>
      </c>
      <c r="BV45" s="503">
        <f t="shared" si="14"/>
        <v>0</v>
      </c>
      <c r="BW45" s="405">
        <f t="shared" si="15"/>
        <v>0</v>
      </c>
    </row>
    <row r="46" spans="2:75" ht="13.5" thickBot="1" x14ac:dyDescent="0.25">
      <c r="B46" s="86" t="s">
        <v>172</v>
      </c>
      <c r="C46" s="96">
        <f>ПП!B34</f>
        <v>0</v>
      </c>
      <c r="D46" s="491">
        <f>ПП!C34</f>
        <v>0</v>
      </c>
      <c r="E46" s="66">
        <f>COUNTIFS('Отчет РПЗ(ПЗ)_ПЗИП'!$G:$G,Справочно!$C30,'Отчет РПЗ(ПЗ)_ПЗИП'!AG:AG, "&gt;0")</f>
        <v>0</v>
      </c>
      <c r="F46" s="492" t="e">
        <f t="shared" si="2"/>
        <v>#DIV/0!</v>
      </c>
      <c r="G46" s="493">
        <f>ПП!D34</f>
        <v>0</v>
      </c>
      <c r="H46" s="494">
        <f>ПП!E34</f>
        <v>0</v>
      </c>
      <c r="I46" s="495">
        <f>SUMIF('Отчет РПЗ(ПЗ)_ПЗИП'!$G:$G,Справочно!$C30,'Отчет РПЗ(ПЗ)_ПЗИП'!$AG:$AG)</f>
        <v>0</v>
      </c>
      <c r="J46" s="492" t="e">
        <f t="shared" si="3"/>
        <v>#DIV/0!</v>
      </c>
      <c r="K46" s="64"/>
      <c r="L46" s="199">
        <f>ПП!G34</f>
        <v>0</v>
      </c>
      <c r="M46" s="184">
        <f>COUNTIFS('Отчет РПЗ(ПЗ)_ПЗИП'!$G:$G,Справочно!$C30,'Отчет РПЗ(ПЗ)_ПЗИП'!$AO:$AO,1,'Отчет РПЗ(ПЗ)_ПЗИП'!$AG:$AG,"&gt;0")</f>
        <v>0</v>
      </c>
      <c r="N46" s="504">
        <f>ПП!H34</f>
        <v>0</v>
      </c>
      <c r="O46" s="406">
        <f>SUMIFS('Отчет РПЗ(ПЗ)_ПЗИП'!$AG:$AG,'Отчет РПЗ(ПЗ)_ПЗИП'!$G:$G,Справочно!$C30,'Отчет РПЗ(ПЗ)_ПЗИП'!$AO:$AO,1,'Отчет РПЗ(ПЗ)_ПЗИП'!$AG:$AG,"&gt;0")</f>
        <v>0</v>
      </c>
      <c r="P46" s="44">
        <f>ПП!I34</f>
        <v>0</v>
      </c>
      <c r="Q46" s="184">
        <f>COUNTIFS('Отчет РПЗ(ПЗ)_ПЗИП'!$G:$G,Справочно!$C30,'Отчет РПЗ(ПЗ)_ПЗИП'!$AO:$AO,2,'Отчет РПЗ(ПЗ)_ПЗИП'!$AG:$AG,"&gt;0")</f>
        <v>0</v>
      </c>
      <c r="R46" s="504">
        <f>ПП!J34</f>
        <v>0</v>
      </c>
      <c r="S46" s="406">
        <f>SUMIFS('Отчет РПЗ(ПЗ)_ПЗИП'!$AG:$AG,'Отчет РПЗ(ПЗ)_ПЗИП'!$G:$G,Справочно!$C30,'Отчет РПЗ(ПЗ)_ПЗИП'!$AO:$AO,2,'Отчет РПЗ(ПЗ)_ПЗИП'!$AG:$AG,"&gt;0")</f>
        <v>0</v>
      </c>
      <c r="T46" s="44">
        <f>ПП!K34</f>
        <v>0</v>
      </c>
      <c r="U46" s="184">
        <f>COUNTIFS('Отчет РПЗ(ПЗ)_ПЗИП'!$G:$G,Справочно!$C30,'Отчет РПЗ(ПЗ)_ПЗИП'!$AO:$AO,3,'Отчет РПЗ(ПЗ)_ПЗИП'!$AG:$AG,"&gt;0")</f>
        <v>0</v>
      </c>
      <c r="V46" s="504">
        <f>ПП!L34</f>
        <v>0</v>
      </c>
      <c r="W46" s="442">
        <f>SUMIFS('Отчет РПЗ(ПЗ)_ПЗИП'!$AG:$AG,'Отчет РПЗ(ПЗ)_ПЗИП'!$G:$G,Справочно!$C30,'Отчет РПЗ(ПЗ)_ПЗИП'!$AO:$AO,3,'Отчет РПЗ(ПЗ)_ПЗИП'!$AG:$AG,"&gt;0")</f>
        <v>0</v>
      </c>
      <c r="X46" s="211">
        <f>ПП!M34</f>
        <v>0</v>
      </c>
      <c r="Y46" s="212">
        <f t="shared" si="4"/>
        <v>0</v>
      </c>
      <c r="Z46" s="503">
        <f t="shared" si="5"/>
        <v>0</v>
      </c>
      <c r="AA46" s="396">
        <f t="shared" si="6"/>
        <v>0</v>
      </c>
      <c r="AB46" s="199">
        <f>ПП!O34</f>
        <v>0</v>
      </c>
      <c r="AC46" s="223">
        <f>COUNTIFS('Отчет РПЗ(ПЗ)_ПЗИП'!$G:$G,Справочно!$C30,'Отчет РПЗ(ПЗ)_ПЗИП'!$AO:$AO,4,'Отчет РПЗ(ПЗ)_ПЗИП'!$AG:$AG,"&gt;0")</f>
        <v>0</v>
      </c>
      <c r="AD46" s="504">
        <f>ПП!P34</f>
        <v>0</v>
      </c>
      <c r="AE46" s="443">
        <f>SUMIFS('Отчет РПЗ(ПЗ)_ПЗИП'!$AG:$AG,'Отчет РПЗ(ПЗ)_ПЗИП'!$G:$G,Справочно!$C30,'Отчет РПЗ(ПЗ)_ПЗИП'!$AO:$AO,4,'Отчет РПЗ(ПЗ)_ПЗИП'!$AG:$AG,"&gt;0")</f>
        <v>0</v>
      </c>
      <c r="AF46" s="44">
        <f>ПП!Q34</f>
        <v>0</v>
      </c>
      <c r="AG46" s="223">
        <f>COUNTIFS('Отчет РПЗ(ПЗ)_ПЗИП'!$G:$G,Справочно!$C30,'Отчет РПЗ(ПЗ)_ПЗИП'!$AO:$AO,5,'Отчет РПЗ(ПЗ)_ПЗИП'!$AG:$AG,"&gt;0")</f>
        <v>0</v>
      </c>
      <c r="AH46" s="504">
        <f>ПП!R34</f>
        <v>0</v>
      </c>
      <c r="AI46" s="443">
        <f>SUMIFS('Отчет РПЗ(ПЗ)_ПЗИП'!$AG:$AG,'Отчет РПЗ(ПЗ)_ПЗИП'!$G:$G,Справочно!$C30,'Отчет РПЗ(ПЗ)_ПЗИП'!$AO:$AO,5,'Отчет РПЗ(ПЗ)_ПЗИП'!$AG:$AG,"&gt;0")</f>
        <v>0</v>
      </c>
      <c r="AJ46" s="44">
        <f>ПП!S34</f>
        <v>0</v>
      </c>
      <c r="AK46" s="223">
        <f>COUNTIFS('Отчет РПЗ(ПЗ)_ПЗИП'!$G:$G,Справочно!$C30,'Отчет РПЗ(ПЗ)_ПЗИП'!$AO:$AO,6,'Отчет РПЗ(ПЗ)_ПЗИП'!$AG:$AG,"&gt;0")</f>
        <v>0</v>
      </c>
      <c r="AL46" s="504">
        <f>ПП!T34</f>
        <v>0</v>
      </c>
      <c r="AM46" s="444">
        <f>SUMIFS('Отчет РПЗ(ПЗ)_ПЗИП'!$AG:$AG,'Отчет РПЗ(ПЗ)_ПЗИП'!$G:$G,Справочно!$C30,'Отчет РПЗ(ПЗ)_ПЗИП'!$AO:$AO,6,'Отчет РПЗ(ПЗ)_ПЗИП'!$AG:$AG,"&gt;0")</f>
        <v>0</v>
      </c>
      <c r="AN46" s="211">
        <f>ПП!U34</f>
        <v>0</v>
      </c>
      <c r="AO46" s="225">
        <f t="shared" si="7"/>
        <v>0</v>
      </c>
      <c r="AP46" s="503">
        <f t="shared" si="8"/>
        <v>0</v>
      </c>
      <c r="AQ46" s="399">
        <f t="shared" si="9"/>
        <v>0</v>
      </c>
      <c r="AR46" s="199">
        <f>ПП!W34</f>
        <v>0</v>
      </c>
      <c r="AS46" s="180">
        <f>COUNTIFS('Отчет РПЗ(ПЗ)_ПЗИП'!$G:$G,Справочно!$C30,'Отчет РПЗ(ПЗ)_ПЗИП'!$AO:$AO,7,'Отчет РПЗ(ПЗ)_ПЗИП'!$AG:$AG,"&gt;0")</f>
        <v>0</v>
      </c>
      <c r="AT46" s="504">
        <f>ПП!X34</f>
        <v>0</v>
      </c>
      <c r="AU46" s="445">
        <f>SUMIFS('Отчет РПЗ(ПЗ)_ПЗИП'!$AG:$AG,'Отчет РПЗ(ПЗ)_ПЗИП'!$G:$G,Справочно!$C30,'Отчет РПЗ(ПЗ)_ПЗИП'!$AO:$AO,7,'Отчет РПЗ(ПЗ)_ПЗИП'!$AG:$AG,"&gt;0")</f>
        <v>0</v>
      </c>
      <c r="AV46" s="44">
        <f>ПП!Y34</f>
        <v>0</v>
      </c>
      <c r="AW46" s="180">
        <f>COUNTIFS('Отчет РПЗ(ПЗ)_ПЗИП'!$G:$G,Справочно!$C30,'Отчет РПЗ(ПЗ)_ПЗИП'!$AO:$AO,8,'Отчет РПЗ(ПЗ)_ПЗИП'!$AG:$AG,"&gt;0")</f>
        <v>0</v>
      </c>
      <c r="AX46" s="504">
        <f>ПП!Z34</f>
        <v>0</v>
      </c>
      <c r="AY46" s="445">
        <f>SUMIFS('Отчет РПЗ(ПЗ)_ПЗИП'!$AG:$AG,'Отчет РПЗ(ПЗ)_ПЗИП'!$G:$G,Справочно!$C30,'Отчет РПЗ(ПЗ)_ПЗИП'!$AO:$AO,8,'Отчет РПЗ(ПЗ)_ПЗИП'!$AG:$AG,"&gt;0")</f>
        <v>0</v>
      </c>
      <c r="AZ46" s="44">
        <f>ПП!AA34</f>
        <v>0</v>
      </c>
      <c r="BA46" s="180">
        <f>COUNTIFS('Отчет РПЗ(ПЗ)_ПЗИП'!$G:$G,Справочно!$C30,'Отчет РПЗ(ПЗ)_ПЗИП'!$AO:$AO,9,'Отчет РПЗ(ПЗ)_ПЗИП'!$AG:$AG,"&gt;0")</f>
        <v>0</v>
      </c>
      <c r="BB46" s="504">
        <f>ПП!AB34</f>
        <v>0</v>
      </c>
      <c r="BC46" s="446">
        <f>SUMIFS('Отчет РПЗ(ПЗ)_ПЗИП'!$AG:$AG,'Отчет РПЗ(ПЗ)_ПЗИП'!$G:$G,Справочно!$C30,'Отчет РПЗ(ПЗ)_ПЗИП'!$AO:$AO,9,'Отчет РПЗ(ПЗ)_ПЗИП'!$AG:$AG,"&gt;0")</f>
        <v>0</v>
      </c>
      <c r="BD46" s="211">
        <f>ПП!AC34</f>
        <v>0</v>
      </c>
      <c r="BE46" s="220">
        <f t="shared" si="10"/>
        <v>0</v>
      </c>
      <c r="BF46" s="503">
        <f t="shared" si="11"/>
        <v>0</v>
      </c>
      <c r="BG46" s="402">
        <f t="shared" si="12"/>
        <v>0</v>
      </c>
      <c r="BH46" s="199">
        <f>ПП!AE34</f>
        <v>0</v>
      </c>
      <c r="BI46" s="217">
        <f>COUNTIFS('Отчет РПЗ(ПЗ)_ПЗИП'!$G:$G,Справочно!$C30,'Отчет РПЗ(ПЗ)_ПЗИП'!$AO:$AO,10,'Отчет РПЗ(ПЗ)_ПЗИП'!$AG:$AG,"&gt;0")</f>
        <v>0</v>
      </c>
      <c r="BJ46" s="504">
        <f>ПП!AF34</f>
        <v>0</v>
      </c>
      <c r="BK46" s="447">
        <f>SUMIFS('Отчет РПЗ(ПЗ)_ПЗИП'!$AG:$AG,'Отчет РПЗ(ПЗ)_ПЗИП'!$G:$G,Справочно!$C30,'Отчет РПЗ(ПЗ)_ПЗИП'!$AO:$AO,10,'Отчет РПЗ(ПЗ)_ПЗИП'!$AG:$AG,"&gt;0")</f>
        <v>0</v>
      </c>
      <c r="BL46" s="44">
        <f>ПП!AG34</f>
        <v>0</v>
      </c>
      <c r="BM46" s="217">
        <f>COUNTIFS('Отчет РПЗ(ПЗ)_ПЗИП'!$G:$G,Справочно!$C30,'Отчет РПЗ(ПЗ)_ПЗИП'!$AO:$AO,11,'Отчет РПЗ(ПЗ)_ПЗИП'!$AG:$AG,"&gt;0")</f>
        <v>0</v>
      </c>
      <c r="BN46" s="504">
        <f>ПП!AH34</f>
        <v>0</v>
      </c>
      <c r="BO46" s="447">
        <f>SUMIFS('Отчет РПЗ(ПЗ)_ПЗИП'!$AG:$AG,'Отчет РПЗ(ПЗ)_ПЗИП'!$G:$G,Справочно!$C30,'Отчет РПЗ(ПЗ)_ПЗИП'!$AO:$AO,11,'Отчет РПЗ(ПЗ)_ПЗИП'!$AG:$AG,"&gt;0")</f>
        <v>0</v>
      </c>
      <c r="BP46" s="44">
        <f>ПП!AI34</f>
        <v>0</v>
      </c>
      <c r="BQ46" s="217">
        <f>COUNTIFS('Отчет РПЗ(ПЗ)_ПЗИП'!$G:$G,Справочно!$C30,'Отчет РПЗ(ПЗ)_ПЗИП'!$AO:$AO,12,'Отчет РПЗ(ПЗ)_ПЗИП'!$AG:$AG,"&gt;0")</f>
        <v>0</v>
      </c>
      <c r="BR46" s="504">
        <f>ПП!AJ34</f>
        <v>0</v>
      </c>
      <c r="BS46" s="448">
        <f>SUMIFS('Отчет РПЗ(ПЗ)_ПЗИП'!$AG:$AG,'Отчет РПЗ(ПЗ)_ПЗИП'!$G:$G,Справочно!$C30,'Отчет РПЗ(ПЗ)_ПЗИП'!$AO:$AO,12,'Отчет РПЗ(ПЗ)_ПЗИП'!$AG:$AG,"&gt;0")</f>
        <v>0</v>
      </c>
      <c r="BT46" s="211">
        <f>ПП!AK34</f>
        <v>0</v>
      </c>
      <c r="BU46" s="219">
        <f t="shared" si="13"/>
        <v>0</v>
      </c>
      <c r="BV46" s="503">
        <f t="shared" si="14"/>
        <v>0</v>
      </c>
      <c r="BW46" s="405">
        <f t="shared" si="15"/>
        <v>0</v>
      </c>
    </row>
    <row r="47" spans="2:75" ht="13.5" thickBot="1" x14ac:dyDescent="0.25">
      <c r="B47" s="86" t="s">
        <v>260</v>
      </c>
      <c r="C47" s="96">
        <f>ПП!B35</f>
        <v>0</v>
      </c>
      <c r="D47" s="491">
        <f>ПП!C35</f>
        <v>0</v>
      </c>
      <c r="E47" s="66">
        <f>COUNTIFS('Отчет РПЗ(ПЗ)_ПЗИП'!$G:$G,Справочно!$C31,'Отчет РПЗ(ПЗ)_ПЗИП'!AG:AG, "&gt;0")</f>
        <v>0</v>
      </c>
      <c r="F47" s="492" t="e">
        <f t="shared" si="2"/>
        <v>#DIV/0!</v>
      </c>
      <c r="G47" s="493">
        <f>ПП!D35</f>
        <v>0</v>
      </c>
      <c r="H47" s="494">
        <f>ПП!E35</f>
        <v>0</v>
      </c>
      <c r="I47" s="495">
        <f>SUMIF('Отчет РПЗ(ПЗ)_ПЗИП'!$G:$G,Справочно!$C31,'Отчет РПЗ(ПЗ)_ПЗИП'!$AG:$AG)</f>
        <v>0</v>
      </c>
      <c r="J47" s="492" t="e">
        <f t="shared" si="3"/>
        <v>#DIV/0!</v>
      </c>
      <c r="K47" s="64"/>
      <c r="L47" s="204">
        <f>ПП!G35</f>
        <v>0</v>
      </c>
      <c r="M47" s="184">
        <f>COUNTIFS('Отчет РПЗ(ПЗ)_ПЗИП'!$G:$G,Справочно!$C31,'Отчет РПЗ(ПЗ)_ПЗИП'!$AO:$AO,1,'Отчет РПЗ(ПЗ)_ПЗИП'!$AG:$AG,"&gt;0")</f>
        <v>0</v>
      </c>
      <c r="N47" s="505">
        <f>ПП!H35</f>
        <v>0</v>
      </c>
      <c r="O47" s="456">
        <f>SUMIFS('Отчет РПЗ(ПЗ)_ПЗИП'!$AG:$AG,'Отчет РПЗ(ПЗ)_ПЗИП'!$G:$G,Справочно!$C31,'Отчет РПЗ(ПЗ)_ПЗИП'!$AO:$AO,1,'Отчет РПЗ(ПЗ)_ПЗИП'!$AG:$AG,"&gt;0")</f>
        <v>0</v>
      </c>
      <c r="P47" s="206">
        <f>ПП!I35</f>
        <v>0</v>
      </c>
      <c r="Q47" s="205">
        <f>COUNTIFS('Отчет РПЗ(ПЗ)_ПЗИП'!$G:$G,Справочно!$C31,'Отчет РПЗ(ПЗ)_ПЗИП'!$AO:$AO,2,'Отчет РПЗ(ПЗ)_ПЗИП'!$AG:$AG,"&gt;0")</f>
        <v>0</v>
      </c>
      <c r="R47" s="505">
        <f>ПП!J35</f>
        <v>0</v>
      </c>
      <c r="S47" s="456">
        <f>SUMIFS('Отчет РПЗ(ПЗ)_ПЗИП'!$AG:$AG,'Отчет РПЗ(ПЗ)_ПЗИП'!$G:$G,Справочно!$C31,'Отчет РПЗ(ПЗ)_ПЗИП'!$AO:$AO,2,'Отчет РПЗ(ПЗ)_ПЗИП'!$AG:$AG,"&gt;0")</f>
        <v>0</v>
      </c>
      <c r="T47" s="206">
        <f>ПП!K35</f>
        <v>0</v>
      </c>
      <c r="U47" s="205">
        <f>COUNTIFS('Отчет РПЗ(ПЗ)_ПЗИП'!$G:$G,Справочно!$C31,'Отчет РПЗ(ПЗ)_ПЗИП'!$AO:$AO,3,'Отчет РПЗ(ПЗ)_ПЗИП'!$AG:$AG,"&gt;0")</f>
        <v>0</v>
      </c>
      <c r="V47" s="505">
        <f>ПП!L35</f>
        <v>0</v>
      </c>
      <c r="W47" s="457">
        <f>SUMIFS('Отчет РПЗ(ПЗ)_ПЗИП'!$AG:$AG,'Отчет РПЗ(ПЗ)_ПЗИП'!$G:$G,Справочно!$C31,'Отчет РПЗ(ПЗ)_ПЗИП'!$AO:$AO,3,'Отчет РПЗ(ПЗ)_ПЗИП'!$AG:$AG,"&gt;0")</f>
        <v>0</v>
      </c>
      <c r="X47" s="211">
        <f>ПП!M35</f>
        <v>0</v>
      </c>
      <c r="Y47" s="212">
        <f t="shared" si="4"/>
        <v>0</v>
      </c>
      <c r="Z47" s="503">
        <f t="shared" si="5"/>
        <v>0</v>
      </c>
      <c r="AA47" s="396">
        <f t="shared" si="6"/>
        <v>0</v>
      </c>
      <c r="AB47" s="204">
        <f>ПП!O35</f>
        <v>0</v>
      </c>
      <c r="AC47" s="224">
        <f>COUNTIFS('Отчет РПЗ(ПЗ)_ПЗИП'!$G:$G,Справочно!$C31,'Отчет РПЗ(ПЗ)_ПЗИП'!$AO:$AO,4,'Отчет РПЗ(ПЗ)_ПЗИП'!$AG:$AG,"&gt;0")</f>
        <v>0</v>
      </c>
      <c r="AD47" s="505">
        <f>ПП!P35</f>
        <v>0</v>
      </c>
      <c r="AE47" s="458">
        <f>SUMIFS('Отчет РПЗ(ПЗ)_ПЗИП'!$AG:$AG,'Отчет РПЗ(ПЗ)_ПЗИП'!$G:$G,Справочно!$C31,'Отчет РПЗ(ПЗ)_ПЗИП'!$AO:$AO,4,'Отчет РПЗ(ПЗ)_ПЗИП'!$AG:$AG,"&gt;0")</f>
        <v>0</v>
      </c>
      <c r="AF47" s="206">
        <f>ПП!Q35</f>
        <v>0</v>
      </c>
      <c r="AG47" s="224">
        <f>COUNTIFS('Отчет РПЗ(ПЗ)_ПЗИП'!$G:$G,Справочно!$C31,'Отчет РПЗ(ПЗ)_ПЗИП'!$AO:$AO,5,'Отчет РПЗ(ПЗ)_ПЗИП'!$AG:$AG,"&gt;0")</f>
        <v>0</v>
      </c>
      <c r="AH47" s="505">
        <f>ПП!R35</f>
        <v>0</v>
      </c>
      <c r="AI47" s="458">
        <f>SUMIFS('Отчет РПЗ(ПЗ)_ПЗИП'!$AG:$AG,'Отчет РПЗ(ПЗ)_ПЗИП'!$G:$G,Справочно!$C31,'Отчет РПЗ(ПЗ)_ПЗИП'!$AO:$AO,5,'Отчет РПЗ(ПЗ)_ПЗИП'!$AG:$AG,"&gt;0")</f>
        <v>0</v>
      </c>
      <c r="AJ47" s="206">
        <f>ПП!S35</f>
        <v>0</v>
      </c>
      <c r="AK47" s="224">
        <f>COUNTIFS('Отчет РПЗ(ПЗ)_ПЗИП'!$G:$G,Справочно!$C31,'Отчет РПЗ(ПЗ)_ПЗИП'!$AO:$AO,6,'Отчет РПЗ(ПЗ)_ПЗИП'!$AG:$AG,"&gt;0")</f>
        <v>0</v>
      </c>
      <c r="AL47" s="505">
        <f>ПП!T35</f>
        <v>0</v>
      </c>
      <c r="AM47" s="459">
        <f>SUMIFS('Отчет РПЗ(ПЗ)_ПЗИП'!$AG:$AG,'Отчет РПЗ(ПЗ)_ПЗИП'!$G:$G,Справочно!$C31,'Отчет РПЗ(ПЗ)_ПЗИП'!$AO:$AO,6,'Отчет РПЗ(ПЗ)_ПЗИП'!$AG:$AG,"&gt;0")</f>
        <v>0</v>
      </c>
      <c r="AN47" s="211">
        <f>ПП!U35</f>
        <v>0</v>
      </c>
      <c r="AO47" s="225">
        <f t="shared" si="7"/>
        <v>0</v>
      </c>
      <c r="AP47" s="503">
        <f t="shared" si="8"/>
        <v>0</v>
      </c>
      <c r="AQ47" s="399">
        <f t="shared" si="9"/>
        <v>0</v>
      </c>
      <c r="AR47" s="204">
        <f>ПП!W35</f>
        <v>0</v>
      </c>
      <c r="AS47" s="222">
        <f>COUNTIFS('Отчет РПЗ(ПЗ)_ПЗИП'!$G:$G,Справочно!$C31,'Отчет РПЗ(ПЗ)_ПЗИП'!$AO:$AO,7,'Отчет РПЗ(ПЗ)_ПЗИП'!$AG:$AG,"&gt;0")</f>
        <v>0</v>
      </c>
      <c r="AT47" s="505">
        <f>ПП!X35</f>
        <v>0</v>
      </c>
      <c r="AU47" s="460">
        <f>SUMIFS('Отчет РПЗ(ПЗ)_ПЗИП'!$AG:$AG,'Отчет РПЗ(ПЗ)_ПЗИП'!$G:$G,Справочно!$C31,'Отчет РПЗ(ПЗ)_ПЗИП'!$AO:$AO,7,'Отчет РПЗ(ПЗ)_ПЗИП'!$AG:$AG,"&gt;0")</f>
        <v>0</v>
      </c>
      <c r="AV47" s="206">
        <f>ПП!Y35</f>
        <v>0</v>
      </c>
      <c r="AW47" s="222">
        <f>COUNTIFS('Отчет РПЗ(ПЗ)_ПЗИП'!$G:$G,Справочно!$C31,'Отчет РПЗ(ПЗ)_ПЗИП'!$AO:$AO,8,'Отчет РПЗ(ПЗ)_ПЗИП'!$AG:$AG,"&gt;0")</f>
        <v>0</v>
      </c>
      <c r="AX47" s="505">
        <f>ПП!Z35</f>
        <v>0</v>
      </c>
      <c r="AY47" s="460">
        <f>SUMIFS('Отчет РПЗ(ПЗ)_ПЗИП'!$AG:$AG,'Отчет РПЗ(ПЗ)_ПЗИП'!$G:$G,Справочно!$C31,'Отчет РПЗ(ПЗ)_ПЗИП'!$AO:$AO,8,'Отчет РПЗ(ПЗ)_ПЗИП'!$AG:$AG,"&gt;0")</f>
        <v>0</v>
      </c>
      <c r="AZ47" s="206">
        <f>ПП!AA35</f>
        <v>0</v>
      </c>
      <c r="BA47" s="222">
        <f>COUNTIFS('Отчет РПЗ(ПЗ)_ПЗИП'!$G:$G,Справочно!$C31,'Отчет РПЗ(ПЗ)_ПЗИП'!$AO:$AO,9,'Отчет РПЗ(ПЗ)_ПЗИП'!$AG:$AG,"&gt;0")</f>
        <v>0</v>
      </c>
      <c r="BB47" s="505">
        <f>ПП!AB35</f>
        <v>0</v>
      </c>
      <c r="BC47" s="461">
        <f>SUMIFS('Отчет РПЗ(ПЗ)_ПЗИП'!$AG:$AG,'Отчет РПЗ(ПЗ)_ПЗИП'!$G:$G,Справочно!$C31,'Отчет РПЗ(ПЗ)_ПЗИП'!$AO:$AO,9,'Отчет РПЗ(ПЗ)_ПЗИП'!$AG:$AG,"&gt;0")</f>
        <v>0</v>
      </c>
      <c r="BD47" s="211">
        <f>ПП!AC35</f>
        <v>0</v>
      </c>
      <c r="BE47" s="220">
        <f t="shared" si="10"/>
        <v>0</v>
      </c>
      <c r="BF47" s="503">
        <f t="shared" si="11"/>
        <v>0</v>
      </c>
      <c r="BG47" s="402">
        <f t="shared" si="12"/>
        <v>0</v>
      </c>
      <c r="BH47" s="204">
        <f>ПП!AE35</f>
        <v>0</v>
      </c>
      <c r="BI47" s="218">
        <f>COUNTIFS('Отчет РПЗ(ПЗ)_ПЗИП'!$G:$G,Справочно!$C31,'Отчет РПЗ(ПЗ)_ПЗИП'!$AO:$AO,10,'Отчет РПЗ(ПЗ)_ПЗИП'!$AG:$AG,"&gt;0")</f>
        <v>0</v>
      </c>
      <c r="BJ47" s="505">
        <f>ПП!AF35</f>
        <v>0</v>
      </c>
      <c r="BK47" s="462">
        <f>SUMIFS('Отчет РПЗ(ПЗ)_ПЗИП'!$AG:$AG,'Отчет РПЗ(ПЗ)_ПЗИП'!$G:$G,Справочно!$C31,'Отчет РПЗ(ПЗ)_ПЗИП'!$AO:$AO,10,'Отчет РПЗ(ПЗ)_ПЗИП'!$AG:$AG,"&gt;0")</f>
        <v>0</v>
      </c>
      <c r="BL47" s="206">
        <f>ПП!AG35</f>
        <v>0</v>
      </c>
      <c r="BM47" s="218">
        <f>COUNTIFS('Отчет РПЗ(ПЗ)_ПЗИП'!$G:$G,Справочно!$C31,'Отчет РПЗ(ПЗ)_ПЗИП'!$AO:$AO,11,'Отчет РПЗ(ПЗ)_ПЗИП'!$AG:$AG,"&gt;0")</f>
        <v>0</v>
      </c>
      <c r="BN47" s="505">
        <f>ПП!AH35</f>
        <v>0</v>
      </c>
      <c r="BO47" s="462">
        <f>SUMIFS('Отчет РПЗ(ПЗ)_ПЗИП'!$AG:$AG,'Отчет РПЗ(ПЗ)_ПЗИП'!$G:$G,Справочно!$C31,'Отчет РПЗ(ПЗ)_ПЗИП'!$AO:$AO,11,'Отчет РПЗ(ПЗ)_ПЗИП'!$AG:$AG,"&gt;0")</f>
        <v>0</v>
      </c>
      <c r="BP47" s="206">
        <f>ПП!AI35</f>
        <v>0</v>
      </c>
      <c r="BQ47" s="218">
        <f>COUNTIFS('Отчет РПЗ(ПЗ)_ПЗИП'!$G:$G,Справочно!$C31,'Отчет РПЗ(ПЗ)_ПЗИП'!$AO:$AO,12,'Отчет РПЗ(ПЗ)_ПЗИП'!$AG:$AG,"&gt;0")</f>
        <v>0</v>
      </c>
      <c r="BR47" s="505">
        <f>ПП!AJ35</f>
        <v>0</v>
      </c>
      <c r="BS47" s="463">
        <f>SUMIFS('Отчет РПЗ(ПЗ)_ПЗИП'!$AG:$AG,'Отчет РПЗ(ПЗ)_ПЗИП'!$G:$G,Справочно!$C31,'Отчет РПЗ(ПЗ)_ПЗИП'!$AO:$AO,12,'Отчет РПЗ(ПЗ)_ПЗИП'!$AG:$AG,"&gt;0")</f>
        <v>0</v>
      </c>
      <c r="BT47" s="211">
        <f>ПП!AK35</f>
        <v>0</v>
      </c>
      <c r="BU47" s="219">
        <f t="shared" si="13"/>
        <v>0</v>
      </c>
      <c r="BV47" s="503">
        <f t="shared" si="14"/>
        <v>0</v>
      </c>
      <c r="BW47" s="405">
        <f t="shared" si="15"/>
        <v>0</v>
      </c>
    </row>
    <row r="48" spans="2:75" ht="13.5" thickBot="1" x14ac:dyDescent="0.25">
      <c r="B48" s="67" t="s">
        <v>242</v>
      </c>
      <c r="C48" s="378">
        <f t="shared" ref="C48:J48" si="16">SUM(C28:C47)</f>
        <v>112</v>
      </c>
      <c r="D48" s="496">
        <f t="shared" si="16"/>
        <v>0.60215053763440862</v>
      </c>
      <c r="E48" s="97">
        <f t="shared" si="16"/>
        <v>0</v>
      </c>
      <c r="F48" s="474" t="e">
        <f t="shared" si="16"/>
        <v>#DIV/0!</v>
      </c>
      <c r="G48" s="497">
        <f t="shared" si="16"/>
        <v>285117431.54000002</v>
      </c>
      <c r="H48" s="389">
        <f t="shared" si="16"/>
        <v>0.7015601139256793</v>
      </c>
      <c r="I48" s="498">
        <f>SUM(I28:I47)</f>
        <v>0</v>
      </c>
      <c r="J48" s="474" t="e">
        <f t="shared" si="16"/>
        <v>#DIV/0!</v>
      </c>
      <c r="K48" s="64"/>
      <c r="L48" s="192">
        <f t="shared" ref="L48:Z48" si="17">SUM(L28:L47)</f>
        <v>0</v>
      </c>
      <c r="M48" s="170">
        <f t="shared" si="17"/>
        <v>0</v>
      </c>
      <c r="N48" s="506">
        <f t="shared" si="17"/>
        <v>0</v>
      </c>
      <c r="O48" s="411">
        <f>SUM(O28:O47)</f>
        <v>0</v>
      </c>
      <c r="P48" s="194">
        <f t="shared" si="17"/>
        <v>0</v>
      </c>
      <c r="Q48" s="170">
        <f t="shared" si="17"/>
        <v>0</v>
      </c>
      <c r="R48" s="506">
        <f t="shared" si="17"/>
        <v>0</v>
      </c>
      <c r="S48" s="411">
        <f>SUM(S28:S47)</f>
        <v>0</v>
      </c>
      <c r="T48" s="194">
        <f t="shared" si="17"/>
        <v>0</v>
      </c>
      <c r="U48" s="170">
        <f t="shared" si="17"/>
        <v>0</v>
      </c>
      <c r="V48" s="506">
        <f t="shared" si="17"/>
        <v>0</v>
      </c>
      <c r="W48" s="417">
        <f>SUM(W28:W47)</f>
        <v>0</v>
      </c>
      <c r="X48" s="213">
        <f t="shared" si="17"/>
        <v>0</v>
      </c>
      <c r="Y48" s="214">
        <f t="shared" si="17"/>
        <v>0</v>
      </c>
      <c r="Z48" s="503">
        <f t="shared" si="17"/>
        <v>0</v>
      </c>
      <c r="AA48" s="413">
        <f>SUM(AA28:AA47)</f>
        <v>0</v>
      </c>
      <c r="AB48" s="192">
        <f t="shared" ref="AB48" si="18">SUM(AB28:AB47)</f>
        <v>0</v>
      </c>
      <c r="AC48" s="170">
        <f t="shared" ref="AC48" si="19">SUM(AC28:AC47)</f>
        <v>0</v>
      </c>
      <c r="AD48" s="506">
        <f t="shared" ref="AD48" si="20">SUM(AD28:AD47)</f>
        <v>0</v>
      </c>
      <c r="AE48" s="411">
        <f>SUM(AE28:AE47)</f>
        <v>0</v>
      </c>
      <c r="AF48" s="194">
        <f t="shared" ref="AF48" si="21">SUM(AF28:AF47)</f>
        <v>0</v>
      </c>
      <c r="AG48" s="170">
        <f t="shared" ref="AG48" si="22">SUM(AG28:AG47)</f>
        <v>0</v>
      </c>
      <c r="AH48" s="506">
        <f t="shared" ref="AH48" si="23">SUM(AH28:AH47)</f>
        <v>0</v>
      </c>
      <c r="AI48" s="411">
        <f>SUM(AI28:AI47)</f>
        <v>0</v>
      </c>
      <c r="AJ48" s="194">
        <f t="shared" ref="AJ48" si="24">SUM(AJ28:AJ47)</f>
        <v>0</v>
      </c>
      <c r="AK48" s="170">
        <f t="shared" ref="AK48" si="25">SUM(AK28:AK47)</f>
        <v>0</v>
      </c>
      <c r="AL48" s="506">
        <f t="shared" ref="AL48" si="26">SUM(AL28:AL47)</f>
        <v>0</v>
      </c>
      <c r="AM48" s="417">
        <f>SUM(AM28:AM47)</f>
        <v>0</v>
      </c>
      <c r="AN48" s="213">
        <f t="shared" ref="AN48" si="27">SUM(AN28:AN47)</f>
        <v>0</v>
      </c>
      <c r="AO48" s="214">
        <f t="shared" ref="AO48" si="28">SUM(AO28:AO47)</f>
        <v>0</v>
      </c>
      <c r="AP48" s="503">
        <f t="shared" ref="AP48" si="29">SUM(AP28:AP47)</f>
        <v>0</v>
      </c>
      <c r="AQ48" s="413">
        <f>SUM(AQ28:AQ47)</f>
        <v>0</v>
      </c>
      <c r="AR48" s="192">
        <f t="shared" ref="AR48" si="30">SUM(AR28:AR47)</f>
        <v>0</v>
      </c>
      <c r="AS48" s="170">
        <f t="shared" ref="AS48" si="31">SUM(AS28:AS47)</f>
        <v>0</v>
      </c>
      <c r="AT48" s="506">
        <f t="shared" ref="AT48" si="32">SUM(AT28:AT47)</f>
        <v>0</v>
      </c>
      <c r="AU48" s="411">
        <f>SUM(AU28:AU47)</f>
        <v>0</v>
      </c>
      <c r="AV48" s="194">
        <f t="shared" ref="AV48" si="33">SUM(AV28:AV47)</f>
        <v>0</v>
      </c>
      <c r="AW48" s="170">
        <f t="shared" ref="AW48" si="34">SUM(AW28:AW47)</f>
        <v>0</v>
      </c>
      <c r="AX48" s="506">
        <f t="shared" ref="AX48" si="35">SUM(AX28:AX47)</f>
        <v>0</v>
      </c>
      <c r="AY48" s="411">
        <f>SUM(AY28:AY47)</f>
        <v>0</v>
      </c>
      <c r="AZ48" s="194">
        <f t="shared" ref="AZ48" si="36">SUM(AZ28:AZ47)</f>
        <v>0</v>
      </c>
      <c r="BA48" s="170">
        <f t="shared" ref="BA48" si="37">SUM(BA28:BA47)</f>
        <v>0</v>
      </c>
      <c r="BB48" s="506">
        <f t="shared" ref="BB48" si="38">SUM(BB28:BB47)</f>
        <v>0</v>
      </c>
      <c r="BC48" s="417">
        <f>SUM(BC28:BC47)</f>
        <v>0</v>
      </c>
      <c r="BD48" s="213">
        <f t="shared" ref="BD48" si="39">SUM(BD28:BD47)</f>
        <v>0</v>
      </c>
      <c r="BE48" s="214">
        <f t="shared" ref="BE48" si="40">SUM(BE28:BE47)</f>
        <v>0</v>
      </c>
      <c r="BF48" s="503">
        <f t="shared" ref="BF48" si="41">SUM(BF28:BF47)</f>
        <v>0</v>
      </c>
      <c r="BG48" s="413">
        <f>SUM(BG28:BG47)</f>
        <v>0</v>
      </c>
      <c r="BH48" s="192">
        <f t="shared" ref="BH48" si="42">SUM(BH28:BH47)</f>
        <v>0</v>
      </c>
      <c r="BI48" s="170">
        <f t="shared" ref="BI48" si="43">SUM(BI28:BI47)</f>
        <v>0</v>
      </c>
      <c r="BJ48" s="506">
        <f t="shared" ref="BJ48" si="44">SUM(BJ28:BJ47)</f>
        <v>0</v>
      </c>
      <c r="BK48" s="411">
        <f>SUM(BK28:BK47)</f>
        <v>0</v>
      </c>
      <c r="BL48" s="194">
        <f t="shared" ref="BL48" si="45">SUM(BL28:BL47)</f>
        <v>0</v>
      </c>
      <c r="BM48" s="170">
        <f t="shared" ref="BM48" si="46">SUM(BM28:BM47)</f>
        <v>0</v>
      </c>
      <c r="BN48" s="506">
        <f t="shared" ref="BN48" si="47">SUM(BN28:BN47)</f>
        <v>0</v>
      </c>
      <c r="BO48" s="411">
        <f>SUM(BO28:BO47)</f>
        <v>0</v>
      </c>
      <c r="BP48" s="194">
        <f t="shared" ref="BP48" si="48">SUM(BP28:BP47)</f>
        <v>0</v>
      </c>
      <c r="BQ48" s="170">
        <f t="shared" ref="BQ48" si="49">SUM(BQ28:BQ47)</f>
        <v>0</v>
      </c>
      <c r="BR48" s="506">
        <f t="shared" ref="BR48" si="50">SUM(BR28:BR47)</f>
        <v>0</v>
      </c>
      <c r="BS48" s="417">
        <f>SUM(BS28:BS47)</f>
        <v>0</v>
      </c>
      <c r="BT48" s="213">
        <f t="shared" ref="BT48" si="51">SUM(BT28:BT47)</f>
        <v>0</v>
      </c>
      <c r="BU48" s="214">
        <f t="shared" ref="BU48" si="52">SUM(BU28:BU47)</f>
        <v>0</v>
      </c>
      <c r="BV48" s="503">
        <f t="shared" ref="BV48" si="53">SUM(BV28:BV47)</f>
        <v>0</v>
      </c>
      <c r="BW48" s="413">
        <f>SUM(BW28:BW47)</f>
        <v>0</v>
      </c>
    </row>
    <row r="49" spans="2:75" ht="13.5" thickBot="1" x14ac:dyDescent="0.25">
      <c r="B49" s="817"/>
      <c r="C49" s="818"/>
      <c r="D49" s="818"/>
      <c r="E49" s="818"/>
      <c r="F49" s="818"/>
      <c r="G49" s="818"/>
      <c r="H49" s="818"/>
      <c r="I49" s="818"/>
      <c r="J49" s="819"/>
      <c r="K49" s="64"/>
      <c r="L49" s="843"/>
      <c r="M49" s="844"/>
      <c r="N49" s="844"/>
      <c r="O49" s="844"/>
      <c r="P49" s="844"/>
      <c r="Q49" s="844"/>
      <c r="R49" s="844"/>
      <c r="S49" s="844"/>
      <c r="T49" s="844"/>
      <c r="U49" s="844"/>
      <c r="V49" s="844"/>
      <c r="W49" s="844"/>
      <c r="X49" s="844"/>
      <c r="Y49" s="844"/>
      <c r="Z49" s="844"/>
      <c r="AA49" s="845"/>
      <c r="AB49" s="843"/>
      <c r="AC49" s="844"/>
      <c r="AD49" s="844"/>
      <c r="AE49" s="844"/>
      <c r="AF49" s="844"/>
      <c r="AG49" s="844"/>
      <c r="AH49" s="844"/>
      <c r="AI49" s="844"/>
      <c r="AJ49" s="844"/>
      <c r="AK49" s="844"/>
      <c r="AL49" s="844"/>
      <c r="AM49" s="844"/>
      <c r="AN49" s="844"/>
      <c r="AO49" s="844"/>
      <c r="AP49" s="844"/>
      <c r="AQ49" s="845"/>
      <c r="AR49" s="843"/>
      <c r="AS49" s="844"/>
      <c r="AT49" s="844"/>
      <c r="AU49" s="844"/>
      <c r="AV49" s="844"/>
      <c r="AW49" s="844"/>
      <c r="AX49" s="844"/>
      <c r="AY49" s="844"/>
      <c r="AZ49" s="844"/>
      <c r="BA49" s="844"/>
      <c r="BB49" s="844"/>
      <c r="BC49" s="844"/>
      <c r="BD49" s="844"/>
      <c r="BE49" s="844"/>
      <c r="BF49" s="844"/>
      <c r="BG49" s="845"/>
      <c r="BH49" s="843"/>
      <c r="BI49" s="844"/>
      <c r="BJ49" s="844"/>
      <c r="BK49" s="844"/>
      <c r="BL49" s="844"/>
      <c r="BM49" s="844"/>
      <c r="BN49" s="844"/>
      <c r="BO49" s="844"/>
      <c r="BP49" s="844"/>
      <c r="BQ49" s="844"/>
      <c r="BR49" s="844"/>
      <c r="BS49" s="844"/>
      <c r="BT49" s="844"/>
      <c r="BU49" s="844"/>
      <c r="BV49" s="844"/>
      <c r="BW49" s="845"/>
    </row>
    <row r="50" spans="2:75" ht="13.5" thickBot="1" x14ac:dyDescent="0.25">
      <c r="B50" s="74" t="s">
        <v>111</v>
      </c>
      <c r="C50" s="378">
        <f>ПП!B38</f>
        <v>74</v>
      </c>
      <c r="D50" s="496">
        <f>ПП!C38</f>
        <v>0.39784946236559138</v>
      </c>
      <c r="E50" s="98">
        <f>COUNTIFS('Отчет РПЗ(ПЗ)_ПЗИП'!$G:$G,Справочно!$C33,'Отчет РПЗ(ПЗ)_ПЗИП'!AG:AG, "&gt;0")</f>
        <v>0</v>
      </c>
      <c r="F50" s="476" t="e">
        <f t="shared" ref="F50" si="54">E50/$E$52</f>
        <v>#DIV/0!</v>
      </c>
      <c r="G50" s="497">
        <f>ПП!D38</f>
        <v>121287416.57000001</v>
      </c>
      <c r="H50" s="389">
        <f>ПП!E38</f>
        <v>0.2984398860743207</v>
      </c>
      <c r="I50" s="499">
        <f>SUMIF('Отчет РПЗ(ПЗ)_ПЗИП'!$G:$G,Справочно!$C33,'Отчет РПЗ(ПЗ)_ПЗИП'!$AG:$AG)</f>
        <v>0</v>
      </c>
      <c r="J50" s="476" t="e">
        <f>I50/$I$52</f>
        <v>#DIV/0!</v>
      </c>
      <c r="K50" s="64"/>
      <c r="L50" s="192">
        <f>ПП!G38</f>
        <v>0</v>
      </c>
      <c r="M50" s="170">
        <f>COUNTIFS('Отчет РПЗ(ПЗ)_ПЗИП'!$G:$G,Справочно!$C33,'Отчет РПЗ(ПЗ)_ПЗИП'!$AO:$AO,1,'Отчет РПЗ(ПЗ)_ПЗИП'!$AG:$AG,"&gt;0")</f>
        <v>0</v>
      </c>
      <c r="N50" s="506">
        <f>ПП!H38</f>
        <v>0</v>
      </c>
      <c r="O50" s="411">
        <f>SUMIFS('Отчет РПЗ(ПЗ)_ПЗИП'!$AG:$AG,'Отчет РПЗ(ПЗ)_ПЗИП'!$G:$G,Справочно!$C33,'Отчет РПЗ(ПЗ)_ПЗИП'!$AO:$AO,1,'Отчет РПЗ(ПЗ)_ПЗИП'!$AG:$AG,"&gt;0")</f>
        <v>0</v>
      </c>
      <c r="P50" s="194">
        <f>ПП!I38</f>
        <v>0</v>
      </c>
      <c r="Q50" s="170">
        <f>COUNTIFS('Отчет РПЗ(ПЗ)_ПЗИП'!$G:$G,Справочно!$C33,'Отчет РПЗ(ПЗ)_ПЗИП'!$AO:$AO,2,'Отчет РПЗ(ПЗ)_ПЗИП'!$AG:$AG,"&gt;0")</f>
        <v>0</v>
      </c>
      <c r="R50" s="506">
        <f>ПП!J38</f>
        <v>0</v>
      </c>
      <c r="S50" s="411">
        <f>SUMIFS('Отчет РПЗ(ПЗ)_ПЗИП'!$AG:$AG,'Отчет РПЗ(ПЗ)_ПЗИП'!$G:$G,Справочно!$C33,'Отчет РПЗ(ПЗ)_ПЗИП'!$AO:$AO,2,'Отчет РПЗ(ПЗ)_ПЗИП'!$AG:$AG,"&gt;0")</f>
        <v>0</v>
      </c>
      <c r="T50" s="194">
        <f>ПП!K38</f>
        <v>0</v>
      </c>
      <c r="U50" s="170">
        <f>COUNTIFS('Отчет РПЗ(ПЗ)_ПЗИП'!$G:$G,Справочно!$C33,'Отчет РПЗ(ПЗ)_ПЗИП'!$AO:$AO,3,'Отчет РПЗ(ПЗ)_ПЗИП'!$AG:$AG,"&gt;0")</f>
        <v>0</v>
      </c>
      <c r="V50" s="506">
        <f>ПП!L38</f>
        <v>0</v>
      </c>
      <c r="W50" s="417">
        <f>SUMIFS('Отчет РПЗ(ПЗ)_ПЗИП'!$AG:$AG,'Отчет РПЗ(ПЗ)_ПЗИП'!$G:$G,Справочно!$C33,'Отчет РПЗ(ПЗ)_ПЗИП'!$AO:$AO,3,'Отчет РПЗ(ПЗ)_ПЗИП'!$AG:$AG,"&gt;0")</f>
        <v>0</v>
      </c>
      <c r="X50" s="213">
        <f>SUM(L50,P50,T50)</f>
        <v>0</v>
      </c>
      <c r="Y50" s="214">
        <f t="shared" ref="Y50:AA50" si="55">SUM(M50,Q50,U50)</f>
        <v>0</v>
      </c>
      <c r="Z50" s="503">
        <f>SUM(N50,R50,V50)</f>
        <v>0</v>
      </c>
      <c r="AA50" s="413">
        <f t="shared" si="55"/>
        <v>0</v>
      </c>
      <c r="AB50" s="192">
        <f>ПП!O38</f>
        <v>0</v>
      </c>
      <c r="AC50" s="170">
        <f>COUNTIFS('Отчет РПЗ(ПЗ)_ПЗИП'!$G:$G,Справочно!$C33,'Отчет РПЗ(ПЗ)_ПЗИП'!$AO:$AO,4,'Отчет РПЗ(ПЗ)_ПЗИП'!$AG:$AG,"&gt;0")</f>
        <v>0</v>
      </c>
      <c r="AD50" s="506">
        <f>ПП!P38</f>
        <v>0</v>
      </c>
      <c r="AE50" s="411">
        <f>SUMIFS('Отчет РПЗ(ПЗ)_ПЗИП'!$AG:$AG,'Отчет РПЗ(ПЗ)_ПЗИП'!$G:$G,Справочно!$C33,'Отчет РПЗ(ПЗ)_ПЗИП'!$AO:$AO,4,'Отчет РПЗ(ПЗ)_ПЗИП'!$AG:$AG,"&gt;0")</f>
        <v>0</v>
      </c>
      <c r="AF50" s="194">
        <f>ПП!Q38</f>
        <v>0</v>
      </c>
      <c r="AG50" s="170">
        <f>COUNTIFS('Отчет РПЗ(ПЗ)_ПЗИП'!$G:$G,Справочно!$C33,'Отчет РПЗ(ПЗ)_ПЗИП'!$AO:$AO,5,'Отчет РПЗ(ПЗ)_ПЗИП'!$AG:$AG,"&gt;0")</f>
        <v>0</v>
      </c>
      <c r="AH50" s="506">
        <f>ПП!R38</f>
        <v>0</v>
      </c>
      <c r="AI50" s="411">
        <f>SUMIFS('Отчет РПЗ(ПЗ)_ПЗИП'!$AG:$AG,'Отчет РПЗ(ПЗ)_ПЗИП'!$G:$G,Справочно!$C33,'Отчет РПЗ(ПЗ)_ПЗИП'!$AO:$AO,5,'Отчет РПЗ(ПЗ)_ПЗИП'!$AG:$AG,"&gt;0")</f>
        <v>0</v>
      </c>
      <c r="AJ50" s="194">
        <f>ПП!S38</f>
        <v>0</v>
      </c>
      <c r="AK50" s="170">
        <f>COUNTIFS('Отчет РПЗ(ПЗ)_ПЗИП'!$G:$G,Справочно!$C33,'Отчет РПЗ(ПЗ)_ПЗИП'!$AO:$AO,6,'Отчет РПЗ(ПЗ)_ПЗИП'!$AG:$AG,"&gt;0")</f>
        <v>0</v>
      </c>
      <c r="AL50" s="506">
        <f>ПП!T38</f>
        <v>0</v>
      </c>
      <c r="AM50" s="417">
        <f>SUMIFS('Отчет РПЗ(ПЗ)_ПЗИП'!$AG:$AG,'Отчет РПЗ(ПЗ)_ПЗИП'!$G:$G,Справочно!$C33,'Отчет РПЗ(ПЗ)_ПЗИП'!$N:$N,"&gt;=01.06.2016",'Отчет РПЗ(ПЗ)_ПЗИП'!$N:$N,"&lt;=30.06.2016",'Отчет РПЗ(ПЗ)_ПЗИП'!$AG:$AG,"&gt;0")</f>
        <v>0</v>
      </c>
      <c r="AN50" s="213">
        <f>SUM(AB50,AF50,AJ50)</f>
        <v>0</v>
      </c>
      <c r="AO50" s="214">
        <f t="shared" ref="AO50" si="56">SUM(AC50,AG50,AK50)</f>
        <v>0</v>
      </c>
      <c r="AP50" s="503">
        <f>SUM(AD50,AH50,AL50)</f>
        <v>0</v>
      </c>
      <c r="AQ50" s="413">
        <f t="shared" ref="AQ50" si="57">SUM(AE50,AI50,AM50)</f>
        <v>0</v>
      </c>
      <c r="AR50" s="192">
        <f>ПП!W38</f>
        <v>0</v>
      </c>
      <c r="AS50" s="170">
        <f>COUNTIFS('Отчет РПЗ(ПЗ)_ПЗИП'!$G:$G,Справочно!$C33,'Отчет РПЗ(ПЗ)_ПЗИП'!$AO:$AO,7,'Отчет РПЗ(ПЗ)_ПЗИП'!$AG:$AG,"&gt;0")</f>
        <v>0</v>
      </c>
      <c r="AT50" s="506">
        <f>ПП!X38</f>
        <v>0</v>
      </c>
      <c r="AU50" s="411">
        <f>SUMIFS('Отчет РПЗ(ПЗ)_ПЗИП'!$AG:$AG,'Отчет РПЗ(ПЗ)_ПЗИП'!$G:$G,Справочно!$C33,'Отчет РПЗ(ПЗ)_ПЗИП'!$AO:$AO,7,'Отчет РПЗ(ПЗ)_ПЗИП'!$AG:$AG,"&gt;0")</f>
        <v>0</v>
      </c>
      <c r="AV50" s="194">
        <f>ПП!Y38</f>
        <v>0</v>
      </c>
      <c r="AW50" s="170">
        <f>COUNTIFS('Отчет РПЗ(ПЗ)_ПЗИП'!$G:$G,Справочно!$C33,'Отчет РПЗ(ПЗ)_ПЗИП'!$AO:$AO,8,'Отчет РПЗ(ПЗ)_ПЗИП'!$AG:$AG,"&gt;0")</f>
        <v>0</v>
      </c>
      <c r="AX50" s="506">
        <f>ПП!Z38</f>
        <v>0</v>
      </c>
      <c r="AY50" s="411">
        <f>SUMIFS('Отчет РПЗ(ПЗ)_ПЗИП'!$AG:$AG,'Отчет РПЗ(ПЗ)_ПЗИП'!$G:$G,Справочно!$C33,'Отчет РПЗ(ПЗ)_ПЗИП'!$AO:$AO,8,'Отчет РПЗ(ПЗ)_ПЗИП'!$AG:$AG,"&gt;0")</f>
        <v>0</v>
      </c>
      <c r="AZ50" s="194">
        <f>ПП!AA38</f>
        <v>0</v>
      </c>
      <c r="BA50" s="170">
        <f>COUNTIFS('Отчет РПЗ(ПЗ)_ПЗИП'!$G:$G,Справочно!$C33,'Отчет РПЗ(ПЗ)_ПЗИП'!$AO:$AO,9,'Отчет РПЗ(ПЗ)_ПЗИП'!$AG:$AG,"&gt;0")</f>
        <v>0</v>
      </c>
      <c r="BB50" s="506">
        <f>ПП!AB38</f>
        <v>0</v>
      </c>
      <c r="BC50" s="417">
        <f>SUMIFS('Отчет РПЗ(ПЗ)_ПЗИП'!$AG:$AG,'Отчет РПЗ(ПЗ)_ПЗИП'!$G:$G,Справочно!$C33,'Отчет РПЗ(ПЗ)_ПЗИП'!$AO:$AO,9,'Отчет РПЗ(ПЗ)_ПЗИП'!$AG:$AG,"&gt;0")</f>
        <v>0</v>
      </c>
      <c r="BD50" s="213">
        <f>SUM(AR50,AV50,AZ50)</f>
        <v>0</v>
      </c>
      <c r="BE50" s="214">
        <f t="shared" ref="BE50" si="58">SUM(AS50,AW50,BA50)</f>
        <v>0</v>
      </c>
      <c r="BF50" s="503">
        <f>SUM(AT50,AX50,BB50)</f>
        <v>0</v>
      </c>
      <c r="BG50" s="413">
        <f t="shared" ref="BG50" si="59">SUM(AU50,AY50,BC50)</f>
        <v>0</v>
      </c>
      <c r="BH50" s="192">
        <f>ПП!AE38</f>
        <v>0</v>
      </c>
      <c r="BI50" s="170">
        <f>COUNTIFS('Отчет РПЗ(ПЗ)_ПЗИП'!$G:$G,Справочно!$C33,'Отчет РПЗ(ПЗ)_ПЗИП'!$AO:$AO,10,'Отчет РПЗ(ПЗ)_ПЗИП'!$AG:$AG,"&gt;0")</f>
        <v>0</v>
      </c>
      <c r="BJ50" s="506">
        <f>ПП!AF38</f>
        <v>0</v>
      </c>
      <c r="BK50" s="411">
        <f>SUMIFS('Отчет РПЗ(ПЗ)_ПЗИП'!$AG:$AG,'Отчет РПЗ(ПЗ)_ПЗИП'!$G:$G,Справочно!$C33,'Отчет РПЗ(ПЗ)_ПЗИП'!$AO:$AO,10,'Отчет РПЗ(ПЗ)_ПЗИП'!$AG:$AG,"&gt;0")</f>
        <v>0</v>
      </c>
      <c r="BL50" s="194">
        <f>ПП!AG38</f>
        <v>0</v>
      </c>
      <c r="BM50" s="170">
        <f>COUNTIFS('Отчет РПЗ(ПЗ)_ПЗИП'!$G:$G,Справочно!$C33,'Отчет РПЗ(ПЗ)_ПЗИП'!$AO:$AO,11,'Отчет РПЗ(ПЗ)_ПЗИП'!$AG:$AG,"&gt;0")</f>
        <v>0</v>
      </c>
      <c r="BN50" s="506">
        <f>ПП!AH38</f>
        <v>0</v>
      </c>
      <c r="BO50" s="411">
        <f>SUMIFS('Отчет РПЗ(ПЗ)_ПЗИП'!$AG:$AG,'Отчет РПЗ(ПЗ)_ПЗИП'!$G:$G,Справочно!$C33,'Отчет РПЗ(ПЗ)_ПЗИП'!$AO:$AO,11,'Отчет РПЗ(ПЗ)_ПЗИП'!$AG:$AG,"&gt;0")</f>
        <v>0</v>
      </c>
      <c r="BP50" s="194">
        <f>ПП!AI38</f>
        <v>0</v>
      </c>
      <c r="BQ50" s="170">
        <f>COUNTIFS('Отчет РПЗ(ПЗ)_ПЗИП'!$G:$G,Справочно!$C33,'Отчет РПЗ(ПЗ)_ПЗИП'!$AO:$AO,12,'Отчет РПЗ(ПЗ)_ПЗИП'!$AG:$AG,"&gt;0")</f>
        <v>0</v>
      </c>
      <c r="BR50" s="506">
        <f>ПП!AJ38</f>
        <v>0</v>
      </c>
      <c r="BS50" s="417">
        <f>SUMIFS('Отчет РПЗ(ПЗ)_ПЗИП'!$AG:$AG,'Отчет РПЗ(ПЗ)_ПЗИП'!$G:$G,Справочно!$C33,'Отчет РПЗ(ПЗ)_ПЗИП'!$AO:$AO,12,'Отчет РПЗ(ПЗ)_ПЗИП'!$AG:$AG,"&gt;0")</f>
        <v>0</v>
      </c>
      <c r="BT50" s="213">
        <f>SUM(BH50,BL50,BP50)</f>
        <v>0</v>
      </c>
      <c r="BU50" s="214">
        <f t="shared" ref="BU50" si="60">SUM(BI50,BM50,BQ50)</f>
        <v>0</v>
      </c>
      <c r="BV50" s="503">
        <f>SUM(BJ50,BN50,BR50)</f>
        <v>0</v>
      </c>
      <c r="BW50" s="413">
        <f t="shared" ref="BW50" si="61">SUM(BK50,BO50,BS50)</f>
        <v>0</v>
      </c>
    </row>
    <row r="51" spans="2:75" ht="13.5" thickBot="1" x14ac:dyDescent="0.25">
      <c r="B51" s="817"/>
      <c r="C51" s="818"/>
      <c r="D51" s="818"/>
      <c r="E51" s="818"/>
      <c r="F51" s="818"/>
      <c r="G51" s="818"/>
      <c r="H51" s="818"/>
      <c r="I51" s="818"/>
      <c r="J51" s="819"/>
      <c r="K51" s="64"/>
      <c r="L51" s="843"/>
      <c r="M51" s="844"/>
      <c r="N51" s="844"/>
      <c r="O51" s="844"/>
      <c r="P51" s="844"/>
      <c r="Q51" s="844"/>
      <c r="R51" s="844"/>
      <c r="S51" s="844"/>
      <c r="T51" s="844"/>
      <c r="U51" s="844"/>
      <c r="V51" s="844"/>
      <c r="W51" s="844"/>
      <c r="X51" s="844"/>
      <c r="Y51" s="844"/>
      <c r="Z51" s="844"/>
      <c r="AA51" s="845"/>
      <c r="AB51" s="843"/>
      <c r="AC51" s="844"/>
      <c r="AD51" s="844"/>
      <c r="AE51" s="844"/>
      <c r="AF51" s="844"/>
      <c r="AG51" s="844"/>
      <c r="AH51" s="844"/>
      <c r="AI51" s="844"/>
      <c r="AJ51" s="844"/>
      <c r="AK51" s="844"/>
      <c r="AL51" s="844"/>
      <c r="AM51" s="844"/>
      <c r="AN51" s="844"/>
      <c r="AO51" s="844"/>
      <c r="AP51" s="844"/>
      <c r="AQ51" s="845"/>
      <c r="AR51" s="843"/>
      <c r="AS51" s="844"/>
      <c r="AT51" s="844"/>
      <c r="AU51" s="844"/>
      <c r="AV51" s="844"/>
      <c r="AW51" s="844"/>
      <c r="AX51" s="844"/>
      <c r="AY51" s="844"/>
      <c r="AZ51" s="844"/>
      <c r="BA51" s="844"/>
      <c r="BB51" s="844"/>
      <c r="BC51" s="844"/>
      <c r="BD51" s="844"/>
      <c r="BE51" s="844"/>
      <c r="BF51" s="844"/>
      <c r="BG51" s="845"/>
      <c r="BH51" s="843"/>
      <c r="BI51" s="844"/>
      <c r="BJ51" s="844"/>
      <c r="BK51" s="844"/>
      <c r="BL51" s="844"/>
      <c r="BM51" s="844"/>
      <c r="BN51" s="844"/>
      <c r="BO51" s="844"/>
      <c r="BP51" s="844"/>
      <c r="BQ51" s="844"/>
      <c r="BR51" s="844"/>
      <c r="BS51" s="844"/>
      <c r="BT51" s="844"/>
      <c r="BU51" s="844"/>
      <c r="BV51" s="844"/>
      <c r="BW51" s="845"/>
    </row>
    <row r="52" spans="2:75" ht="13.5" thickBot="1" x14ac:dyDescent="0.25">
      <c r="B52" s="69" t="s">
        <v>262</v>
      </c>
      <c r="C52" s="99">
        <f>C48+C50+C91</f>
        <v>186</v>
      </c>
      <c r="D52" s="500">
        <f t="shared" ref="D52:J52" si="62">D48+D50</f>
        <v>1</v>
      </c>
      <c r="E52" s="97">
        <f t="shared" si="62"/>
        <v>0</v>
      </c>
      <c r="F52" s="474" t="e">
        <f t="shared" si="62"/>
        <v>#DIV/0!</v>
      </c>
      <c r="G52" s="497">
        <f t="shared" si="62"/>
        <v>406404848.11000001</v>
      </c>
      <c r="H52" s="389">
        <f t="shared" si="62"/>
        <v>1</v>
      </c>
      <c r="I52" s="498">
        <f t="shared" si="62"/>
        <v>0</v>
      </c>
      <c r="J52" s="501" t="e">
        <f t="shared" si="62"/>
        <v>#DIV/0!</v>
      </c>
      <c r="L52" s="193">
        <f>SUM(L48,L50)</f>
        <v>0</v>
      </c>
      <c r="M52" s="174">
        <f>SUM(M48,M50)</f>
        <v>0</v>
      </c>
      <c r="N52" s="506">
        <f t="shared" ref="N52:Z52" si="63">SUM(N48,N50)</f>
        <v>0</v>
      </c>
      <c r="O52" s="411">
        <f>SUM(O48,O50)</f>
        <v>0</v>
      </c>
      <c r="P52" s="196">
        <f t="shared" si="63"/>
        <v>0</v>
      </c>
      <c r="Q52" s="174">
        <f>SUM(Q48,Q50)</f>
        <v>0</v>
      </c>
      <c r="R52" s="506">
        <f t="shared" si="63"/>
        <v>0</v>
      </c>
      <c r="S52" s="411">
        <f>SUM(S48,S50)</f>
        <v>0</v>
      </c>
      <c r="T52" s="196">
        <f t="shared" si="63"/>
        <v>0</v>
      </c>
      <c r="U52" s="174">
        <f>SUM(U48,U50)</f>
        <v>0</v>
      </c>
      <c r="V52" s="506">
        <f t="shared" si="63"/>
        <v>0</v>
      </c>
      <c r="W52" s="417">
        <f>SUM(W48,W50)</f>
        <v>0</v>
      </c>
      <c r="X52" s="211">
        <f t="shared" si="63"/>
        <v>0</v>
      </c>
      <c r="Y52" s="215">
        <f>SUM(Y48,Y50)</f>
        <v>0</v>
      </c>
      <c r="Z52" s="503">
        <f t="shared" si="63"/>
        <v>0</v>
      </c>
      <c r="AA52" s="413">
        <f>SUM(AA48,AA50)</f>
        <v>0</v>
      </c>
      <c r="AB52" s="193">
        <f>SUM(AB48,AB50)</f>
        <v>0</v>
      </c>
      <c r="AC52" s="174">
        <f>SUM(AC48,AC50)</f>
        <v>0</v>
      </c>
      <c r="AD52" s="506">
        <f t="shared" ref="AD52" si="64">SUM(AD48,AD50)</f>
        <v>0</v>
      </c>
      <c r="AE52" s="411">
        <f>SUM(AE48,AE50)</f>
        <v>0</v>
      </c>
      <c r="AF52" s="196">
        <f t="shared" ref="AF52" si="65">SUM(AF48,AF50)</f>
        <v>0</v>
      </c>
      <c r="AG52" s="174">
        <f>SUM(AG48,AG50)</f>
        <v>0</v>
      </c>
      <c r="AH52" s="506">
        <f t="shared" ref="AH52" si="66">SUM(AH48,AH50)</f>
        <v>0</v>
      </c>
      <c r="AI52" s="411">
        <f>SUM(AI48,AI50)</f>
        <v>0</v>
      </c>
      <c r="AJ52" s="196">
        <f t="shared" ref="AJ52" si="67">SUM(AJ48,AJ50)</f>
        <v>0</v>
      </c>
      <c r="AK52" s="174">
        <f>SUM(AK48,AK50)</f>
        <v>0</v>
      </c>
      <c r="AL52" s="506">
        <f t="shared" ref="AL52" si="68">SUM(AL48,AL50)</f>
        <v>0</v>
      </c>
      <c r="AM52" s="417">
        <f>SUM(AM48,AM50)</f>
        <v>0</v>
      </c>
      <c r="AN52" s="211">
        <f t="shared" ref="AN52" si="69">SUM(AN48,AN50)</f>
        <v>0</v>
      </c>
      <c r="AO52" s="215">
        <f>SUM(AO48,AO50)</f>
        <v>0</v>
      </c>
      <c r="AP52" s="503">
        <f t="shared" ref="AP52" si="70">SUM(AP48,AP50)</f>
        <v>0</v>
      </c>
      <c r="AQ52" s="413">
        <f>SUM(AQ48,AQ50)</f>
        <v>0</v>
      </c>
      <c r="AR52" s="193">
        <f>SUM(AR48,AR50)</f>
        <v>0</v>
      </c>
      <c r="AS52" s="174">
        <f>SUM(AS48,AS50)</f>
        <v>0</v>
      </c>
      <c r="AT52" s="506">
        <f t="shared" ref="AT52" si="71">SUM(AT48,AT50)</f>
        <v>0</v>
      </c>
      <c r="AU52" s="411">
        <f>SUM(AU48,AU50)</f>
        <v>0</v>
      </c>
      <c r="AV52" s="196">
        <f t="shared" ref="AV52" si="72">SUM(AV48,AV50)</f>
        <v>0</v>
      </c>
      <c r="AW52" s="174">
        <f>SUM(AW48,AW50)</f>
        <v>0</v>
      </c>
      <c r="AX52" s="506">
        <f t="shared" ref="AX52" si="73">SUM(AX48,AX50)</f>
        <v>0</v>
      </c>
      <c r="AY52" s="411">
        <f>SUM(AY48,AY50)</f>
        <v>0</v>
      </c>
      <c r="AZ52" s="196">
        <f t="shared" ref="AZ52" si="74">SUM(AZ48,AZ50)</f>
        <v>0</v>
      </c>
      <c r="BA52" s="174">
        <f>SUM(BA48,BA50)</f>
        <v>0</v>
      </c>
      <c r="BB52" s="506">
        <f t="shared" ref="BB52" si="75">SUM(BB48,BB50)</f>
        <v>0</v>
      </c>
      <c r="BC52" s="417">
        <f>SUM(BC48,BC50)</f>
        <v>0</v>
      </c>
      <c r="BD52" s="211">
        <f t="shared" ref="BD52" si="76">SUM(BD48,BD50)</f>
        <v>0</v>
      </c>
      <c r="BE52" s="215">
        <f>SUM(BE48,BE50)</f>
        <v>0</v>
      </c>
      <c r="BF52" s="503">
        <f t="shared" ref="BF52" si="77">SUM(BF48,BF50)</f>
        <v>0</v>
      </c>
      <c r="BG52" s="413">
        <f>SUM(BG48,BG50)</f>
        <v>0</v>
      </c>
      <c r="BH52" s="193">
        <f>SUM(BH48,BH50)</f>
        <v>0</v>
      </c>
      <c r="BI52" s="174">
        <f>SUM(BI48,BI50)</f>
        <v>0</v>
      </c>
      <c r="BJ52" s="506">
        <f t="shared" ref="BJ52" si="78">SUM(BJ48,BJ50)</f>
        <v>0</v>
      </c>
      <c r="BK52" s="411">
        <f>SUM(BK48,BK50)</f>
        <v>0</v>
      </c>
      <c r="BL52" s="196">
        <f t="shared" ref="BL52" si="79">SUM(BL48,BL50)</f>
        <v>0</v>
      </c>
      <c r="BM52" s="174">
        <f>SUM(BM48,BM50)</f>
        <v>0</v>
      </c>
      <c r="BN52" s="506">
        <f t="shared" ref="BN52" si="80">SUM(BN48,BN50)</f>
        <v>0</v>
      </c>
      <c r="BO52" s="411">
        <f>SUM(BO48,BO50)</f>
        <v>0</v>
      </c>
      <c r="BP52" s="196">
        <f t="shared" ref="BP52" si="81">SUM(BP48,BP50)</f>
        <v>0</v>
      </c>
      <c r="BQ52" s="174">
        <f>SUM(BQ48,BQ50)</f>
        <v>0</v>
      </c>
      <c r="BR52" s="506">
        <f t="shared" ref="BR52" si="82">SUM(BR48,BR50)</f>
        <v>0</v>
      </c>
      <c r="BS52" s="417">
        <f>SUM(BS48,BS50)</f>
        <v>0</v>
      </c>
      <c r="BT52" s="211">
        <f t="shared" ref="BT52" si="83">SUM(BT48,BT50)</f>
        <v>0</v>
      </c>
      <c r="BU52" s="215">
        <f>SUM(BU48,BU50)</f>
        <v>0</v>
      </c>
      <c r="BV52" s="503">
        <f t="shared" ref="BV52" si="84">SUM(BV48,BV50)</f>
        <v>0</v>
      </c>
      <c r="BW52" s="413">
        <f>SUM(BW48,BW50)</f>
        <v>0</v>
      </c>
    </row>
    <row r="53" spans="2:75" ht="22.5" customHeight="1" thickBot="1" x14ac:dyDescent="0.3">
      <c r="B53" s="853" t="s">
        <v>247</v>
      </c>
      <c r="C53" s="853"/>
      <c r="D53" s="853"/>
      <c r="E53" s="853"/>
      <c r="F53" s="853"/>
      <c r="G53" s="853"/>
      <c r="H53" s="853"/>
      <c r="I53" s="855"/>
      <c r="J53" s="855"/>
      <c r="L53" s="852" t="s">
        <v>247</v>
      </c>
      <c r="M53" s="853"/>
      <c r="N53" s="853"/>
      <c r="O53" s="853"/>
      <c r="P53" s="853"/>
      <c r="Q53" s="853"/>
      <c r="R53" s="853"/>
      <c r="S53" s="853"/>
      <c r="T53" s="853"/>
      <c r="U53" s="853"/>
      <c r="V53" s="853"/>
      <c r="W53" s="853"/>
      <c r="X53" s="853"/>
      <c r="Y53" s="853"/>
      <c r="Z53" s="853"/>
      <c r="AA53" s="854"/>
      <c r="AB53" s="852" t="s">
        <v>247</v>
      </c>
      <c r="AC53" s="853"/>
      <c r="AD53" s="853"/>
      <c r="AE53" s="853"/>
      <c r="AF53" s="853"/>
      <c r="AG53" s="853"/>
      <c r="AH53" s="853"/>
      <c r="AI53" s="853"/>
      <c r="AJ53" s="853"/>
      <c r="AK53" s="853"/>
      <c r="AL53" s="853"/>
      <c r="AM53" s="853"/>
      <c r="AN53" s="853"/>
      <c r="AO53" s="853"/>
      <c r="AP53" s="853"/>
      <c r="AQ53" s="854"/>
      <c r="AR53" s="852" t="s">
        <v>247</v>
      </c>
      <c r="AS53" s="853"/>
      <c r="AT53" s="853"/>
      <c r="AU53" s="853"/>
      <c r="AV53" s="853"/>
      <c r="AW53" s="853"/>
      <c r="AX53" s="853"/>
      <c r="AY53" s="853"/>
      <c r="AZ53" s="853"/>
      <c r="BA53" s="853"/>
      <c r="BB53" s="853"/>
      <c r="BC53" s="853"/>
      <c r="BD53" s="853"/>
      <c r="BE53" s="853"/>
      <c r="BF53" s="853"/>
      <c r="BG53" s="854"/>
      <c r="BH53" s="852" t="s">
        <v>247</v>
      </c>
      <c r="BI53" s="853"/>
      <c r="BJ53" s="853"/>
      <c r="BK53" s="853"/>
      <c r="BL53" s="853"/>
      <c r="BM53" s="853"/>
      <c r="BN53" s="853"/>
      <c r="BO53" s="853"/>
      <c r="BP53" s="853"/>
      <c r="BQ53" s="853"/>
      <c r="BR53" s="853"/>
      <c r="BS53" s="853"/>
      <c r="BT53" s="853"/>
      <c r="BU53" s="853"/>
      <c r="BV53" s="853"/>
      <c r="BW53" s="854"/>
    </row>
    <row r="54" spans="2:75" ht="54.75" customHeight="1" thickBot="1" x14ac:dyDescent="0.25">
      <c r="B54" s="166" t="s">
        <v>212</v>
      </c>
      <c r="C54" s="359" t="s">
        <v>319</v>
      </c>
      <c r="D54" s="65" t="s">
        <v>243</v>
      </c>
      <c r="E54" s="360" t="s">
        <v>318</v>
      </c>
      <c r="F54" s="359" t="s">
        <v>1298</v>
      </c>
      <c r="G54" s="65" t="s">
        <v>1299</v>
      </c>
      <c r="H54" s="357" t="s">
        <v>1300</v>
      </c>
      <c r="I54" s="794" t="s">
        <v>264</v>
      </c>
      <c r="J54" s="790"/>
      <c r="L54" s="208" t="s">
        <v>318</v>
      </c>
      <c r="M54" s="209" t="s">
        <v>228</v>
      </c>
      <c r="N54" s="798" t="s">
        <v>264</v>
      </c>
      <c r="O54" s="798"/>
      <c r="P54" s="209" t="s">
        <v>318</v>
      </c>
      <c r="Q54" s="209" t="s">
        <v>228</v>
      </c>
      <c r="R54" s="798" t="s">
        <v>264</v>
      </c>
      <c r="S54" s="798"/>
      <c r="T54" s="209" t="s">
        <v>318</v>
      </c>
      <c r="U54" s="209" t="s">
        <v>228</v>
      </c>
      <c r="V54" s="798" t="s">
        <v>264</v>
      </c>
      <c r="W54" s="799"/>
      <c r="X54" s="101" t="s">
        <v>318</v>
      </c>
      <c r="Y54" s="101" t="s">
        <v>228</v>
      </c>
      <c r="Z54" s="800" t="s">
        <v>264</v>
      </c>
      <c r="AA54" s="800"/>
      <c r="AB54" s="208" t="s">
        <v>318</v>
      </c>
      <c r="AC54" s="209" t="s">
        <v>228</v>
      </c>
      <c r="AD54" s="798" t="s">
        <v>264</v>
      </c>
      <c r="AE54" s="798"/>
      <c r="AF54" s="209" t="s">
        <v>318</v>
      </c>
      <c r="AG54" s="209" t="s">
        <v>228</v>
      </c>
      <c r="AH54" s="798" t="s">
        <v>264</v>
      </c>
      <c r="AI54" s="798"/>
      <c r="AJ54" s="209" t="s">
        <v>318</v>
      </c>
      <c r="AK54" s="209" t="s">
        <v>228</v>
      </c>
      <c r="AL54" s="798" t="s">
        <v>264</v>
      </c>
      <c r="AM54" s="799"/>
      <c r="AN54" s="101" t="s">
        <v>318</v>
      </c>
      <c r="AO54" s="101" t="s">
        <v>228</v>
      </c>
      <c r="AP54" s="800" t="s">
        <v>264</v>
      </c>
      <c r="AQ54" s="800"/>
      <c r="AR54" s="208" t="s">
        <v>318</v>
      </c>
      <c r="AS54" s="209" t="s">
        <v>228</v>
      </c>
      <c r="AT54" s="798" t="s">
        <v>264</v>
      </c>
      <c r="AU54" s="798"/>
      <c r="AV54" s="209" t="s">
        <v>318</v>
      </c>
      <c r="AW54" s="209" t="s">
        <v>228</v>
      </c>
      <c r="AX54" s="798" t="s">
        <v>264</v>
      </c>
      <c r="AY54" s="798"/>
      <c r="AZ54" s="209" t="s">
        <v>318</v>
      </c>
      <c r="BA54" s="209" t="s">
        <v>228</v>
      </c>
      <c r="BB54" s="798" t="s">
        <v>264</v>
      </c>
      <c r="BC54" s="799"/>
      <c r="BD54" s="101" t="s">
        <v>318</v>
      </c>
      <c r="BE54" s="101" t="s">
        <v>228</v>
      </c>
      <c r="BF54" s="800" t="s">
        <v>264</v>
      </c>
      <c r="BG54" s="800"/>
      <c r="BH54" s="208" t="s">
        <v>318</v>
      </c>
      <c r="BI54" s="209" t="s">
        <v>228</v>
      </c>
      <c r="BJ54" s="798" t="s">
        <v>264</v>
      </c>
      <c r="BK54" s="798"/>
      <c r="BL54" s="209" t="s">
        <v>318</v>
      </c>
      <c r="BM54" s="209" t="s">
        <v>228</v>
      </c>
      <c r="BN54" s="798" t="s">
        <v>264</v>
      </c>
      <c r="BO54" s="798"/>
      <c r="BP54" s="209" t="s">
        <v>318</v>
      </c>
      <c r="BQ54" s="209" t="s">
        <v>228</v>
      </c>
      <c r="BR54" s="798" t="s">
        <v>264</v>
      </c>
      <c r="BS54" s="799"/>
      <c r="BT54" s="101" t="s">
        <v>318</v>
      </c>
      <c r="BU54" s="101" t="s">
        <v>228</v>
      </c>
      <c r="BV54" s="800" t="s">
        <v>264</v>
      </c>
      <c r="BW54" s="800"/>
    </row>
    <row r="55" spans="2:75" ht="15" customHeight="1" thickBot="1" x14ac:dyDescent="0.25">
      <c r="B55" s="167"/>
      <c r="C55" s="793" t="s">
        <v>40</v>
      </c>
      <c r="D55" s="793"/>
      <c r="E55" s="361"/>
      <c r="F55" s="794" t="s">
        <v>250</v>
      </c>
      <c r="G55" s="790"/>
      <c r="H55" s="362"/>
      <c r="I55" s="358" t="s">
        <v>225</v>
      </c>
      <c r="J55" s="360" t="s">
        <v>118</v>
      </c>
      <c r="L55" s="171" t="s">
        <v>40</v>
      </c>
      <c r="M55" s="172" t="s">
        <v>250</v>
      </c>
      <c r="N55" s="172" t="s">
        <v>225</v>
      </c>
      <c r="O55" s="172" t="s">
        <v>118</v>
      </c>
      <c r="P55" s="172" t="s">
        <v>40</v>
      </c>
      <c r="Q55" s="172" t="s">
        <v>250</v>
      </c>
      <c r="R55" s="172" t="s">
        <v>225</v>
      </c>
      <c r="S55" s="172" t="s">
        <v>118</v>
      </c>
      <c r="T55" s="172" t="s">
        <v>40</v>
      </c>
      <c r="U55" s="172" t="s">
        <v>250</v>
      </c>
      <c r="V55" s="172" t="s">
        <v>225</v>
      </c>
      <c r="W55" s="173" t="s">
        <v>118</v>
      </c>
      <c r="X55" s="101" t="s">
        <v>40</v>
      </c>
      <c r="Y55" s="101" t="s">
        <v>250</v>
      </c>
      <c r="Z55" s="101" t="s">
        <v>225</v>
      </c>
      <c r="AA55" s="101" t="s">
        <v>118</v>
      </c>
      <c r="AB55" s="171" t="s">
        <v>40</v>
      </c>
      <c r="AC55" s="172" t="s">
        <v>250</v>
      </c>
      <c r="AD55" s="172" t="s">
        <v>225</v>
      </c>
      <c r="AE55" s="172" t="s">
        <v>118</v>
      </c>
      <c r="AF55" s="172" t="s">
        <v>40</v>
      </c>
      <c r="AG55" s="172" t="s">
        <v>250</v>
      </c>
      <c r="AH55" s="172" t="s">
        <v>225</v>
      </c>
      <c r="AI55" s="172" t="s">
        <v>118</v>
      </c>
      <c r="AJ55" s="172" t="s">
        <v>40</v>
      </c>
      <c r="AK55" s="172" t="s">
        <v>250</v>
      </c>
      <c r="AL55" s="172" t="s">
        <v>225</v>
      </c>
      <c r="AM55" s="173" t="s">
        <v>118</v>
      </c>
      <c r="AN55" s="101" t="s">
        <v>40</v>
      </c>
      <c r="AO55" s="101" t="s">
        <v>250</v>
      </c>
      <c r="AP55" s="101" t="s">
        <v>225</v>
      </c>
      <c r="AQ55" s="101" t="s">
        <v>118</v>
      </c>
      <c r="AR55" s="171" t="s">
        <v>40</v>
      </c>
      <c r="AS55" s="172" t="s">
        <v>250</v>
      </c>
      <c r="AT55" s="172" t="s">
        <v>225</v>
      </c>
      <c r="AU55" s="172" t="s">
        <v>118</v>
      </c>
      <c r="AV55" s="172" t="s">
        <v>40</v>
      </c>
      <c r="AW55" s="172" t="s">
        <v>250</v>
      </c>
      <c r="AX55" s="172" t="s">
        <v>225</v>
      </c>
      <c r="AY55" s="172" t="s">
        <v>118</v>
      </c>
      <c r="AZ55" s="172" t="s">
        <v>40</v>
      </c>
      <c r="BA55" s="172" t="s">
        <v>250</v>
      </c>
      <c r="BB55" s="172" t="s">
        <v>225</v>
      </c>
      <c r="BC55" s="173" t="s">
        <v>118</v>
      </c>
      <c r="BD55" s="101" t="s">
        <v>40</v>
      </c>
      <c r="BE55" s="101" t="s">
        <v>250</v>
      </c>
      <c r="BF55" s="101" t="s">
        <v>225</v>
      </c>
      <c r="BG55" s="101" t="s">
        <v>118</v>
      </c>
      <c r="BH55" s="171" t="s">
        <v>40</v>
      </c>
      <c r="BI55" s="172" t="s">
        <v>250</v>
      </c>
      <c r="BJ55" s="172" t="s">
        <v>225</v>
      </c>
      <c r="BK55" s="172" t="s">
        <v>118</v>
      </c>
      <c r="BL55" s="172" t="s">
        <v>40</v>
      </c>
      <c r="BM55" s="172" t="s">
        <v>250</v>
      </c>
      <c r="BN55" s="172" t="s">
        <v>225</v>
      </c>
      <c r="BO55" s="172" t="s">
        <v>118</v>
      </c>
      <c r="BP55" s="172" t="s">
        <v>40</v>
      </c>
      <c r="BQ55" s="172" t="s">
        <v>250</v>
      </c>
      <c r="BR55" s="172" t="s">
        <v>225</v>
      </c>
      <c r="BS55" s="173" t="s">
        <v>118</v>
      </c>
      <c r="BT55" s="101" t="s">
        <v>40</v>
      </c>
      <c r="BU55" s="101" t="s">
        <v>250</v>
      </c>
      <c r="BV55" s="101" t="s">
        <v>225</v>
      </c>
      <c r="BW55" s="101" t="s">
        <v>118</v>
      </c>
    </row>
    <row r="56" spans="2:75" ht="15" customHeight="1" thickBot="1" x14ac:dyDescent="0.25">
      <c r="B56" s="58" t="str">
        <f>Справочно!E21</f>
        <v>ГК "Ростех"</v>
      </c>
      <c r="C56" s="96" t="e">
        <f>ПП!B44</f>
        <v>#REF!</v>
      </c>
      <c r="D56" s="491" t="e">
        <f>ПП!C44</f>
        <v>#REF!</v>
      </c>
      <c r="E56" s="516" t="e">
        <f>ПП!D44</f>
        <v>#REF!</v>
      </c>
      <c r="F56" s="356">
        <f>COUNTIFS('Отчет РПЗ(ПЗ)_ПЗИП'!$AG:$AG,"&gt;0",'Отчет РПЗ(ПЗ)_ПЗИП'!$D:$D,Справочно!$E21)</f>
        <v>0</v>
      </c>
      <c r="G56" s="517" t="e">
        <f>F56/$E$52</f>
        <v>#DIV/0!</v>
      </c>
      <c r="H56" s="518">
        <f>SUMIF('Отчет РПЗ(ПЗ)_ПЗИП'!$D:$D,Справочно!$E21,'Отчет РПЗ(ПЗ)_ПЗИП'!$AG:$AG)</f>
        <v>0</v>
      </c>
      <c r="I56" s="519">
        <f>(IF($D$3=1,Z56,0)+IF($D$3=2,Z56+AP56,0)+IF($D$3=3,Z56+AP56+BF56,0)+IF($D$3=4,Z56+AP56+BF56+BV56,0))</f>
        <v>0</v>
      </c>
      <c r="J56" s="296" t="e">
        <f>I56/(X56+AN56+BD56+BT56)</f>
        <v>#DIV/0!</v>
      </c>
      <c r="L56" s="507">
        <f>SUMIFS('Отчет РПЗ(ПЗ)_ПЗИП'!$W:$W,'Отчет РПЗ(ПЗ)_ПЗИП'!$D:$D,Справочно!$E21,'Отчет РПЗ(ПЗ)_ПЗИП'!$N:$N,"&gt;=01.01.2016",'Отчет РПЗ(ПЗ)_ПЗИП'!$N:$N,"&lt;=31.01.2016",'Отчет РПЗ(ПЗ)_ПЗИП'!$AG:$AG,"&gt;0")</f>
        <v>0</v>
      </c>
      <c r="M56" s="394">
        <f>SUMIFS('Отчет РПЗ(ПЗ)_ПЗИП'!$AG:$AG,'Отчет РПЗ(ПЗ)_ПЗИП'!$D:$D,Справочно!$E21,'Отчет РПЗ(ПЗ)_ПЗИП'!$AO:$AO,1)</f>
        <v>0</v>
      </c>
      <c r="N56" s="406" t="str">
        <f>IF(M56=0,"НД",L56-M56)</f>
        <v>НД</v>
      </c>
      <c r="O56" s="297" t="str">
        <f>IF(M56=0, "НД", IF((N56="НД"),"НД",N56/L56))</f>
        <v>НД</v>
      </c>
      <c r="P56" s="502">
        <f>SUMIFS('Отчет РПЗ(ПЗ)_ПЗИП'!$W:$W,'Отчет РПЗ(ПЗ)_ПЗИП'!$D:$D,Справочно!$E21,'Отчет РПЗ(ПЗ)_ПЗИП'!$N:$N,"&gt;=01.02.2016",'Отчет РПЗ(ПЗ)_ПЗИП'!$N:$N,"&lt;=29.02.2016",'Отчет РПЗ(ПЗ)_ПЗИП'!$AG:$AG,"&gt;0")</f>
        <v>0</v>
      </c>
      <c r="Q56" s="394">
        <f>SUMIFS('Отчет РПЗ(ПЗ)_ПЗИП'!$AG:$AG,'Отчет РПЗ(ПЗ)_ПЗИП'!$D:$D,Справочно!$E21,'Отчет РПЗ(ПЗ)_ПЗИП'!$AO:$AO,2)</f>
        <v>0</v>
      </c>
      <c r="R56" s="406" t="str">
        <f>IF(Q56=0,"НД",P56-Q56)</f>
        <v>НД</v>
      </c>
      <c r="S56" s="297" t="str">
        <f>IF(Q56=0, "НД", IF((R56="НД"),"НД",R56/P56))</f>
        <v>НД</v>
      </c>
      <c r="T56" s="502">
        <f>SUMIFS('Отчет РПЗ(ПЗ)_ПЗИП'!$W:$W,'Отчет РПЗ(ПЗ)_ПЗИП'!$D:$D,Справочно!$E21,'Отчет РПЗ(ПЗ)_ПЗИП'!$N:$N,"&gt;=01.03.2016",'Отчет РПЗ(ПЗ)_ПЗИП'!$N:$N,"&lt;=31.03.2016",'Отчет РПЗ(ПЗ)_ПЗИП'!$AG:$AG,"&gt;0")</f>
        <v>0</v>
      </c>
      <c r="U56" s="394">
        <f>SUMIFS('Отчет РПЗ(ПЗ)_ПЗИП'!$AG:$AG,'Отчет РПЗ(ПЗ)_ПЗИП'!$D:$D,Справочно!$E21,'Отчет РПЗ(ПЗ)_ПЗИП'!$AO:$AO,3)</f>
        <v>0</v>
      </c>
      <c r="V56" s="406" t="str">
        <f>IF(U56=0,"НД",T56-U56)</f>
        <v>НД</v>
      </c>
      <c r="W56" s="297" t="str">
        <f t="shared" ref="W56:W81" si="85">IF(U56=0, "НД", IF((V56="НД"),"НД",V56/T56))</f>
        <v>НД</v>
      </c>
      <c r="X56" s="503">
        <f>SUM(L56,P56,T56)</f>
        <v>0</v>
      </c>
      <c r="Y56" s="396">
        <f>SUM(M56,Q56,U56)</f>
        <v>0</v>
      </c>
      <c r="Z56" s="396" t="str">
        <f>IF(Y56=0,"НД",X56-Y56)</f>
        <v>НД</v>
      </c>
      <c r="AA56" s="299" t="str">
        <f t="shared" ref="AA56:AA81" si="86">IF(Y56=0, "НД", IF((Z56="НД"),"НД",Z56/X56))</f>
        <v>НД</v>
      </c>
      <c r="AB56" s="507">
        <f>SUMIFS('Отчет РПЗ(ПЗ)_ПЗИП'!$W:$W,'Отчет РПЗ(ПЗ)_ПЗИП'!$D:$D,Справочно!$E21,'Отчет РПЗ(ПЗ)_ПЗИП'!$N:$N,"&gt;=01.04.2016",'Отчет РПЗ(ПЗ)_ПЗИП'!$N:$N,"&lt;=30.04.2016",'Отчет РПЗ(ПЗ)_ПЗИП'!$AG:$AG,"&gt;0")</f>
        <v>0</v>
      </c>
      <c r="AC56" s="397">
        <f>SUMIFS('Отчет РПЗ(ПЗ)_ПЗИП'!$AG:$AG,'Отчет РПЗ(ПЗ)_ПЗИП'!$D:$D,Справочно!$E21,'Отчет РПЗ(ПЗ)_ПЗИП'!$AO:$AO,4)</f>
        <v>0</v>
      </c>
      <c r="AD56" s="397" t="str">
        <f>IF(AC56=0,"НД",AB56-AC56)</f>
        <v>НД</v>
      </c>
      <c r="AE56" s="298" t="str">
        <f t="shared" ref="AE56:AE81" si="87">IF(AC56=0, "НД", IF((AD56="НД"),"НД",AD56/AB56))</f>
        <v>НД</v>
      </c>
      <c r="AF56" s="508">
        <f>SUMIFS('Отчет РПЗ(ПЗ)_ПЗИП'!$W:$W,'Отчет РПЗ(ПЗ)_ПЗИП'!$D:$D,Справочно!$E21,'Отчет РПЗ(ПЗ)_ПЗИП'!$N:$N,"&gt;=01.05.2016",'Отчет РПЗ(ПЗ)_ПЗИП'!$N:$N,"&lt;=31.05.2016",'Отчет РПЗ(ПЗ)_ПЗИП'!$AG:$AG,"&gt;0")</f>
        <v>0</v>
      </c>
      <c r="AG56" s="397">
        <f>SUMIFS('Отчет РПЗ(ПЗ)_ПЗИП'!$AG:$AG,'Отчет РПЗ(ПЗ)_ПЗИП'!$D:$D,Справочно!$E21,'Отчет РПЗ(ПЗ)_ПЗИП'!$AO:$AO,5)</f>
        <v>0</v>
      </c>
      <c r="AH56" s="397" t="str">
        <f>IF(AG56=0,"НД",AF56-AG56)</f>
        <v>НД</v>
      </c>
      <c r="AI56" s="298" t="str">
        <f t="shared" ref="AI56:AI81" si="88">IF(AG56=0, "НД", IF((AH56="НД"),"НД",AH56/AF56))</f>
        <v>НД</v>
      </c>
      <c r="AJ56" s="508">
        <f>SUMIFS('Отчет РПЗ(ПЗ)_ПЗИП'!$W:$W,'Отчет РПЗ(ПЗ)_ПЗИП'!$D:$D,Справочно!$E21,'Отчет РПЗ(ПЗ)_ПЗИП'!$N:$N,"&gt;=01.06.2016",'Отчет РПЗ(ПЗ)_ПЗИП'!$N:$N,"&lt;=30.06.2016",'Отчет РПЗ(ПЗ)_ПЗИП'!$AG:$AG,"&gt;0")</f>
        <v>0</v>
      </c>
      <c r="AK56" s="397">
        <f>SUMIFS('Отчет РПЗ(ПЗ)_ПЗИП'!$AG:$AG,'Отчет РПЗ(ПЗ)_ПЗИП'!$D:$D,Справочно!$E21,'Отчет РПЗ(ПЗ)_ПЗИП'!$AO:$AO,6)</f>
        <v>0</v>
      </c>
      <c r="AL56" s="397" t="str">
        <f>IF(AK56=0,"НД",AJ56-AK56)</f>
        <v>НД</v>
      </c>
      <c r="AM56" s="298" t="str">
        <f t="shared" ref="AM56:AM81" si="89">IF(AK56=0, "НД", IF((AL56="НД"),"НД",AL56/AJ56))</f>
        <v>НД</v>
      </c>
      <c r="AN56" s="503">
        <f>SUM(AB56,AF56,AJ56)</f>
        <v>0</v>
      </c>
      <c r="AO56" s="399">
        <f>SUM(AC56,AG56,AK56)</f>
        <v>0</v>
      </c>
      <c r="AP56" s="399" t="str">
        <f>IF(AO56=0,"НД",AN56-AO56)</f>
        <v>НД</v>
      </c>
      <c r="AQ56" s="301" t="str">
        <f t="shared" ref="AQ56:AQ81" si="90">IF(AO56=0, "НД", IF((AP56="НД"),"НД",AP56/AN56))</f>
        <v>НД</v>
      </c>
      <c r="AR56" s="507">
        <f>SUMIFS('Отчет РПЗ(ПЗ)_ПЗИП'!$W:$W,'Отчет РПЗ(ПЗ)_ПЗИП'!$D:$D,Справочно!$E21,'Отчет РПЗ(ПЗ)_ПЗИП'!$N:$N,"&gt;=01.07.2016",'Отчет РПЗ(ПЗ)_ПЗИП'!$N:$N,"&lt;=31.07.2016",'Отчет РПЗ(ПЗ)_ПЗИП'!$AG:$AG,"&gt;0")</f>
        <v>0</v>
      </c>
      <c r="AS56" s="400">
        <f>SUMIFS('Отчет РПЗ(ПЗ)_ПЗИП'!$AG:$AG,'Отчет РПЗ(ПЗ)_ПЗИП'!$D:$D,Справочно!$E21,'Отчет РПЗ(ПЗ)_ПЗИП'!$AO:$AO,7)</f>
        <v>0</v>
      </c>
      <c r="AT56" s="400" t="str">
        <f>IF(AS56=0,"НД",AR56-AS56)</f>
        <v>НД</v>
      </c>
      <c r="AU56" s="302" t="str">
        <f t="shared" ref="AU56:AU81" si="91">IF(AS56=0, "НД", IF((AT56="НД"),"НД",AT56/AR56))</f>
        <v>НД</v>
      </c>
      <c r="AV56" s="502">
        <f>SUMIFS('Отчет РПЗ(ПЗ)_ПЗИП'!$W:$W,'Отчет РПЗ(ПЗ)_ПЗИП'!$D:$D,Справочно!$E21,'Отчет РПЗ(ПЗ)_ПЗИП'!$N:$N,"&gt;=01.08.2016",'Отчет РПЗ(ПЗ)_ПЗИП'!$N:$N,"&lt;=31.08.2016",'Отчет РПЗ(ПЗ)_ПЗИП'!$AG:$AG,"&gt;0")</f>
        <v>0</v>
      </c>
      <c r="AW56" s="400">
        <f>SUMIFS('Отчет РПЗ(ПЗ)_ПЗИП'!$AG:$AG,'Отчет РПЗ(ПЗ)_ПЗИП'!$D:$D,Справочно!$E21,'Отчет РПЗ(ПЗ)_ПЗИП'!$AO:$AO,8)</f>
        <v>0</v>
      </c>
      <c r="AX56" s="400" t="str">
        <f>IF(AW56=0,"НД",AV56-AW56)</f>
        <v>НД</v>
      </c>
      <c r="AY56" s="304" t="str">
        <f t="shared" ref="AY56:AY81" si="92">IF(AW56=0, "НД", IF((AX56="НД"),"НД",AX56/AV56))</f>
        <v>НД</v>
      </c>
      <c r="AZ56" s="502">
        <f>SUMIFS('Отчет РПЗ(ПЗ)_ПЗИП'!$W:$W,'Отчет РПЗ(ПЗ)_ПЗИП'!$D:$D,Справочно!$E21,'Отчет РПЗ(ПЗ)_ПЗИП'!$N:$N,"&gt;=01.09.2016",'Отчет РПЗ(ПЗ)_ПЗИП'!$N:$N,"&lt;=30.09.2016",'Отчет РПЗ(ПЗ)_ПЗИП'!$AG:$AG,"&gt;0")</f>
        <v>0</v>
      </c>
      <c r="BA56" s="400">
        <f>SUMIFS('Отчет РПЗ(ПЗ)_ПЗИП'!$AG:$AG,'Отчет РПЗ(ПЗ)_ПЗИП'!$D:$D,Справочно!$E21,'Отчет РПЗ(ПЗ)_ПЗИП'!$AO:$AO,9)</f>
        <v>0</v>
      </c>
      <c r="BB56" s="400" t="str">
        <f>IF(BA56=0,"НД",AZ56-BA56)</f>
        <v>НД</v>
      </c>
      <c r="BC56" s="304" t="str">
        <f t="shared" ref="BC56:BC81" si="93">IF(BA56=0, "НД", IF((BB56="НД"),"НД",BB56/AZ56))</f>
        <v>НД</v>
      </c>
      <c r="BD56" s="503">
        <f>SUM(AR56,AV56,AZ56)</f>
        <v>0</v>
      </c>
      <c r="BE56" s="402">
        <f>SUM(AS56,AW56,BA56)</f>
        <v>0</v>
      </c>
      <c r="BF56" s="402" t="str">
        <f>IF(BE56=0,"НД",BD56-BE56)</f>
        <v>НД</v>
      </c>
      <c r="BG56" s="305" t="str">
        <f t="shared" ref="BG56:BG81" si="94">IF(BE56=0, "НД", IF((BF56="НД"),"НД",BF56/BD56))</f>
        <v>НД</v>
      </c>
      <c r="BH56" s="493">
        <f>SUMIFS('Отчет РПЗ(ПЗ)_ПЗИП'!$W:$W,'Отчет РПЗ(ПЗ)_ПЗИП'!$D:$D,Справочно!$E21,'Отчет РПЗ(ПЗ)_ПЗИП'!$N:$N,"&gt;=01.10.2016",'Отчет РПЗ(ПЗ)_ПЗИП'!$N:$N,"&lt;=31.10.2016",'Отчет РПЗ(ПЗ)_ПЗИП'!$AG:$AG,"&gt;0")</f>
        <v>0</v>
      </c>
      <c r="BI56" s="403">
        <f>SUMIFS('Отчет РПЗ(ПЗ)_ПЗИП'!$AG:$AG,'Отчет РПЗ(ПЗ)_ПЗИП'!$D:$D,Справочно!$E21,'Отчет РПЗ(ПЗ)_ПЗИП'!$AO:$AO,10)</f>
        <v>0</v>
      </c>
      <c r="BJ56" s="403" t="str">
        <f>IF(BI56=0,"НД",BH56-BI56)</f>
        <v>НД</v>
      </c>
      <c r="BK56" s="306" t="str">
        <f t="shared" ref="BK56:BK81" si="95">IF(BI56=0, "НД", IF((BJ56="НД"),"НД",BJ56/BH56))</f>
        <v>НД</v>
      </c>
      <c r="BL56" s="508">
        <f>SUMIFS('Отчет РПЗ(ПЗ)_ПЗИП'!$W:$W,'Отчет РПЗ(ПЗ)_ПЗИП'!$D:$D,Справочно!$E21,'Отчет РПЗ(ПЗ)_ПЗИП'!$N:$N,"&gt;=01.11.2016",'Отчет РПЗ(ПЗ)_ПЗИП'!$N:$N,"&lt;=30.11.2016",'Отчет РПЗ(ПЗ)_ПЗИП'!$AG:$AG,"&gt;0")</f>
        <v>0</v>
      </c>
      <c r="BM56" s="403">
        <f>SUMIFS('Отчет РПЗ(ПЗ)_ПЗИП'!$AG:$AG,'Отчет РПЗ(ПЗ)_ПЗИП'!$D:$D,Справочно!$E21,'Отчет РПЗ(ПЗ)_ПЗИП'!$AO:$AO,11)</f>
        <v>0</v>
      </c>
      <c r="BN56" s="403" t="str">
        <f>IF(BM56=0,"НД",BL56-BM56)</f>
        <v>НД</v>
      </c>
      <c r="BO56" s="306" t="str">
        <f t="shared" ref="BO56:BO81" si="96">IF(BM56=0, "НД", IF((BN56="НД"),"НД",BN56/BL56))</f>
        <v>НД</v>
      </c>
      <c r="BP56" s="508">
        <f>SUMIFS('Отчет РПЗ(ПЗ)_ПЗИП'!$W:$W,'Отчет РПЗ(ПЗ)_ПЗИП'!$D:$D,Справочно!$E21,'Отчет РПЗ(ПЗ)_ПЗИП'!$N:$N,"&gt;=01.12.2016",'Отчет РПЗ(ПЗ)_ПЗИП'!$N:$N,"&lt;=31.12.2016",'Отчет РПЗ(ПЗ)_ПЗИП'!$AG:$AG,"&gt;0")</f>
        <v>0</v>
      </c>
      <c r="BQ56" s="403">
        <f>SUMIFS('Отчет РПЗ(ПЗ)_ПЗИП'!$AG:$AG,'Отчет РПЗ(ПЗ)_ПЗИП'!$D:$D,Справочно!$E21,'Отчет РПЗ(ПЗ)_ПЗИП'!$AO:$AO,12)</f>
        <v>0</v>
      </c>
      <c r="BR56" s="403" t="str">
        <f>IF(BQ56=0,"НД",BP56-BQ56)</f>
        <v>НД</v>
      </c>
      <c r="BS56" s="308" t="str">
        <f t="shared" ref="BS56:BS81" si="97">IF(BQ56=0, "НД", IF((BR56="НД"),"НД",BR56/BP56))</f>
        <v>НД</v>
      </c>
      <c r="BT56" s="503">
        <f>SUM(BH56,BL56,BP56)</f>
        <v>0</v>
      </c>
      <c r="BU56" s="405">
        <f>SUM(BI56,BM56,BQ56)</f>
        <v>0</v>
      </c>
      <c r="BV56" s="405" t="str">
        <f>IF(BU56=0,"НД",BT56-BU56)</f>
        <v>НД</v>
      </c>
      <c r="BW56" s="310" t="str">
        <f t="shared" ref="BW56:BW81" si="98">IF(BU56=0, "НД", IF((BV56="НД"),"НД",BV56/BT56))</f>
        <v>НД</v>
      </c>
    </row>
    <row r="57" spans="2:75" ht="15" customHeight="1" thickBot="1" x14ac:dyDescent="0.25">
      <c r="B57" s="58" t="str">
        <f>Справочно!E22</f>
        <v>ООО "РТ-Развитие бизнеса"</v>
      </c>
      <c r="C57" s="96" t="e">
        <f>ПП!B45</f>
        <v>#REF!</v>
      </c>
      <c r="D57" s="491" t="e">
        <f>ПП!C45</f>
        <v>#REF!</v>
      </c>
      <c r="E57" s="516" t="e">
        <f>ПП!D45</f>
        <v>#REF!</v>
      </c>
      <c r="F57" s="356">
        <f>COUNTIFS('Отчет РПЗ(ПЗ)_ПЗИП'!$AG:$AG,"&gt;0",'Отчет РПЗ(ПЗ)_ПЗИП'!$D:$D,Справочно!$E22)</f>
        <v>0</v>
      </c>
      <c r="G57" s="517" t="e">
        <f t="shared" ref="G57:G81" si="99">F57/$E$52</f>
        <v>#DIV/0!</v>
      </c>
      <c r="H57" s="518">
        <f>SUMIF('Отчет РПЗ(ПЗ)_ПЗИП'!$D:$D,Справочно!$E22,'Отчет РПЗ(ПЗ)_ПЗИП'!$AG:$AG)</f>
        <v>0</v>
      </c>
      <c r="I57" s="519">
        <f t="shared" ref="I57:I81" si="100">(IF($D$3=1,Z57,0)+IF($D$3=2,Z57+AP57,0)+IF($D$3=3,Z57+AP57+BF57,0)+IF($D$3=4,Z57+AP57+BF57+BV57,0))</f>
        <v>0</v>
      </c>
      <c r="J57" s="296" t="e">
        <f t="shared" ref="J57:J81" si="101">I57/(X57+AN57+BD57+BT57)</f>
        <v>#DIV/0!</v>
      </c>
      <c r="L57" s="509">
        <f>SUMIFS('Отчет РПЗ(ПЗ)_ПЗИП'!$W:$W,'Отчет РПЗ(ПЗ)_ПЗИП'!$D:$D,Справочно!$E22,'Отчет РПЗ(ПЗ)_ПЗИП'!$N:$N,"&gt;=01.01.2016",'Отчет РПЗ(ПЗ)_ПЗИП'!$N:$N,"&lt;=31.01.2016",'Отчет РПЗ(ПЗ)_ПЗИП'!$AG:$AG,"&gt;0")</f>
        <v>0</v>
      </c>
      <c r="M57" s="394">
        <f>SUMIFS('Отчет РПЗ(ПЗ)_ПЗИП'!$AG:$AG,'Отчет РПЗ(ПЗ)_ПЗИП'!$D:$D,Справочно!$E22,'Отчет РПЗ(ПЗ)_ПЗИП'!$AO:$AO,1)</f>
        <v>0</v>
      </c>
      <c r="N57" s="406" t="str">
        <f t="shared" ref="N57:N81" si="102">IF(M57=0,"НД",L57-M57)</f>
        <v>НД</v>
      </c>
      <c r="O57" s="297" t="str">
        <f t="shared" ref="O57:O81" si="103">IF(M57=0, "НД", IF((N57="НД"),"НД",N57/L57))</f>
        <v>НД</v>
      </c>
      <c r="P57" s="504">
        <f>SUMIFS('Отчет РПЗ(ПЗ)_ПЗИП'!$W:$W,'Отчет РПЗ(ПЗ)_ПЗИП'!$D:$D,Справочно!$E22,'Отчет РПЗ(ПЗ)_ПЗИП'!$N:$N,"&gt;=01.02.2016",'Отчет РПЗ(ПЗ)_ПЗИП'!$N:$N,"&lt;=29.02.2016",'Отчет РПЗ(ПЗ)_ПЗИП'!$AG:$AG,"&gt;0")</f>
        <v>0</v>
      </c>
      <c r="Q57" s="394">
        <f>SUMIFS('Отчет РПЗ(ПЗ)_ПЗИП'!$AG:$AG,'Отчет РПЗ(ПЗ)_ПЗИП'!$D:$D,Справочно!$E22,'Отчет РПЗ(ПЗ)_ПЗИП'!$AO:$AO,2)</f>
        <v>0</v>
      </c>
      <c r="R57" s="406" t="str">
        <f t="shared" ref="R57:R81" si="104">IF(Q57=0,"НД",P57-Q57)</f>
        <v>НД</v>
      </c>
      <c r="S57" s="297" t="str">
        <f t="shared" ref="S57:S81" si="105">IF(Q57=0, "НД", IF((R57="НД"),"НД",R57/P57))</f>
        <v>НД</v>
      </c>
      <c r="T57" s="504">
        <f>SUMIFS('Отчет РПЗ(ПЗ)_ПЗИП'!$W:$W,'Отчет РПЗ(ПЗ)_ПЗИП'!$D:$D,Справочно!$E22,'Отчет РПЗ(ПЗ)_ПЗИП'!$N:$N,"&gt;=01.03.2016",'Отчет РПЗ(ПЗ)_ПЗИП'!$N:$N,"&lt;=31.03.2016",'Отчет РПЗ(ПЗ)_ПЗИП'!$AG:$AG,"&gt;0")</f>
        <v>0</v>
      </c>
      <c r="U57" s="394">
        <f>SUMIFS('Отчет РПЗ(ПЗ)_ПЗИП'!$AG:$AG,'Отчет РПЗ(ПЗ)_ПЗИП'!$D:$D,Справочно!$E22,'Отчет РПЗ(ПЗ)_ПЗИП'!$AO:$AO,3)</f>
        <v>0</v>
      </c>
      <c r="V57" s="406" t="str">
        <f t="shared" ref="V57:V81" si="106">IF(U57=0,"НД",T57-U57)</f>
        <v>НД</v>
      </c>
      <c r="W57" s="297" t="str">
        <f t="shared" si="85"/>
        <v>НД</v>
      </c>
      <c r="X57" s="503">
        <f t="shared" ref="X57:X80" si="107">SUM(L57,P57,T57)</f>
        <v>0</v>
      </c>
      <c r="Y57" s="396">
        <f t="shared" ref="Y57:Y80" si="108">SUM(M57,Q57,U57)</f>
        <v>0</v>
      </c>
      <c r="Z57" s="396" t="str">
        <f t="shared" ref="Z57:Z81" si="109">IF(Y57=0,"НД",X57-Y57)</f>
        <v>НД</v>
      </c>
      <c r="AA57" s="299" t="str">
        <f t="shared" si="86"/>
        <v>НД</v>
      </c>
      <c r="AB57" s="509">
        <f>SUMIFS('Отчет РПЗ(ПЗ)_ПЗИП'!$W:$W,'Отчет РПЗ(ПЗ)_ПЗИП'!$D:$D,Справочно!$E22,'Отчет РПЗ(ПЗ)_ПЗИП'!$N:$N,"&gt;=01.04.2016",'Отчет РПЗ(ПЗ)_ПЗИП'!$N:$N,"&lt;=30.04.2016",'Отчет РПЗ(ПЗ)_ПЗИП'!$AG:$AG,"&gt;0")</f>
        <v>0</v>
      </c>
      <c r="AC57" s="397">
        <f>SUMIFS('Отчет РПЗ(ПЗ)_ПЗИП'!$AG:$AG,'Отчет РПЗ(ПЗ)_ПЗИП'!$D:$D,Справочно!$E22,'Отчет РПЗ(ПЗ)_ПЗИП'!$AO:$AO,4)</f>
        <v>0</v>
      </c>
      <c r="AD57" s="397" t="str">
        <f t="shared" ref="AD57:AD81" si="110">IF(AC57=0,"НД",AB57-AC57)</f>
        <v>НД</v>
      </c>
      <c r="AE57" s="298" t="str">
        <f t="shared" si="87"/>
        <v>НД</v>
      </c>
      <c r="AF57" s="508">
        <f>SUMIFS('Отчет РПЗ(ПЗ)_ПЗИП'!$W:$W,'Отчет РПЗ(ПЗ)_ПЗИП'!$D:$D,Справочно!$E22,'Отчет РПЗ(ПЗ)_ПЗИП'!$N:$N,"&gt;=01.05.2016",'Отчет РПЗ(ПЗ)_ПЗИП'!$N:$N,"&lt;=31.05.2016",'Отчет РПЗ(ПЗ)_ПЗИП'!$AG:$AG,"&gt;0")</f>
        <v>0</v>
      </c>
      <c r="AG57" s="397">
        <f>SUMIFS('Отчет РПЗ(ПЗ)_ПЗИП'!$AG:$AG,'Отчет РПЗ(ПЗ)_ПЗИП'!$D:$D,Справочно!$E22,'Отчет РПЗ(ПЗ)_ПЗИП'!$AO:$AO,5)</f>
        <v>0</v>
      </c>
      <c r="AH57" s="397" t="str">
        <f t="shared" ref="AH57:AH80" si="111">IF(AG57=0,"НД",AF57-AG57)</f>
        <v>НД</v>
      </c>
      <c r="AI57" s="298" t="str">
        <f t="shared" si="88"/>
        <v>НД</v>
      </c>
      <c r="AJ57" s="508">
        <f>SUMIFS('Отчет РПЗ(ПЗ)_ПЗИП'!$W:$W,'Отчет РПЗ(ПЗ)_ПЗИП'!$D:$D,Справочно!$E22,'Отчет РПЗ(ПЗ)_ПЗИП'!$N:$N,"&gt;=01.06.2016",'Отчет РПЗ(ПЗ)_ПЗИП'!$N:$N,"&lt;=30.06.2016",'Отчет РПЗ(ПЗ)_ПЗИП'!$AG:$AG,"&gt;0")</f>
        <v>0</v>
      </c>
      <c r="AK57" s="397">
        <f>SUMIFS('Отчет РПЗ(ПЗ)_ПЗИП'!$AG:$AG,'Отчет РПЗ(ПЗ)_ПЗИП'!$D:$D,Справочно!$E22,'Отчет РПЗ(ПЗ)_ПЗИП'!$AO:$AO,6)</f>
        <v>0</v>
      </c>
      <c r="AL57" s="397" t="str">
        <f t="shared" ref="AL57:AL80" si="112">IF(AK57=0,"НД",AJ57-AK57)</f>
        <v>НД</v>
      </c>
      <c r="AM57" s="298" t="str">
        <f t="shared" si="89"/>
        <v>НД</v>
      </c>
      <c r="AN57" s="503">
        <f t="shared" ref="AN57:AN80" si="113">SUM(AB57,AF57,AJ57)</f>
        <v>0</v>
      </c>
      <c r="AO57" s="399">
        <f t="shared" ref="AO57:AO80" si="114">SUM(AC57,AG57,AK57)</f>
        <v>0</v>
      </c>
      <c r="AP57" s="399" t="str">
        <f t="shared" ref="AP57:AP80" si="115">IF(AO57=0,"НД",AN57-AO57)</f>
        <v>НД</v>
      </c>
      <c r="AQ57" s="301" t="str">
        <f t="shared" si="90"/>
        <v>НД</v>
      </c>
      <c r="AR57" s="509">
        <f>SUMIFS('Отчет РПЗ(ПЗ)_ПЗИП'!$W:$W,'Отчет РПЗ(ПЗ)_ПЗИП'!$D:$D,Справочно!$E22,'Отчет РПЗ(ПЗ)_ПЗИП'!$N:$N,"&gt;=01.07.2016",'Отчет РПЗ(ПЗ)_ПЗИП'!$N:$N,"&lt;=31.07.2016",'Отчет РПЗ(ПЗ)_ПЗИП'!$AG:$AG,"&gt;0")</f>
        <v>0</v>
      </c>
      <c r="AS57" s="400">
        <f>SUMIFS('Отчет РПЗ(ПЗ)_ПЗИП'!$AG:$AG,'Отчет РПЗ(ПЗ)_ПЗИП'!$D:$D,Справочно!$E22,'Отчет РПЗ(ПЗ)_ПЗИП'!$AO:$AO,7)</f>
        <v>0</v>
      </c>
      <c r="AT57" s="445" t="str">
        <f t="shared" ref="AT57:AT80" si="116">IF(AS57=0,"НД",AR57-AS57)</f>
        <v>НД</v>
      </c>
      <c r="AU57" s="303" t="str">
        <f t="shared" si="91"/>
        <v>НД</v>
      </c>
      <c r="AV57" s="504">
        <f>SUMIFS('Отчет РПЗ(ПЗ)_ПЗИП'!$W:$W,'Отчет РПЗ(ПЗ)_ПЗИП'!$D:$D,Справочно!$E22,'Отчет РПЗ(ПЗ)_ПЗИП'!$N:$N,"&gt;=01.08.2016",'Отчет РПЗ(ПЗ)_ПЗИП'!$N:$N,"&lt;=31.08.2016",'Отчет РПЗ(ПЗ)_ПЗИП'!$AG:$AG,"&gt;0")</f>
        <v>0</v>
      </c>
      <c r="AW57" s="400">
        <f>SUMIFS('Отчет РПЗ(ПЗ)_ПЗИП'!$AG:$AG,'Отчет РПЗ(ПЗ)_ПЗИП'!$D:$D,Справочно!$E22,'Отчет РПЗ(ПЗ)_ПЗИП'!$AO:$AO,8)</f>
        <v>0</v>
      </c>
      <c r="AX57" s="445" t="str">
        <f t="shared" ref="AX57:AX80" si="117">IF(AW57=0,"НД",AV57-AW57)</f>
        <v>НД</v>
      </c>
      <c r="AY57" s="303" t="str">
        <f t="shared" si="92"/>
        <v>НД</v>
      </c>
      <c r="AZ57" s="504">
        <f>SUMIFS('Отчет РПЗ(ПЗ)_ПЗИП'!$W:$W,'Отчет РПЗ(ПЗ)_ПЗИП'!$D:$D,Справочно!$E22,'Отчет РПЗ(ПЗ)_ПЗИП'!$N:$N,"&gt;=01.09.2016",'Отчет РПЗ(ПЗ)_ПЗИП'!$N:$N,"&lt;=30.09.2016",'Отчет РПЗ(ПЗ)_ПЗИП'!$AG:$AG,"&gt;0")</f>
        <v>0</v>
      </c>
      <c r="BA57" s="400">
        <f>SUMIFS('Отчет РПЗ(ПЗ)_ПЗИП'!$AG:$AG,'Отчет РПЗ(ПЗ)_ПЗИП'!$D:$D,Справочно!$E22,'Отчет РПЗ(ПЗ)_ПЗИП'!$AO:$AO,9)</f>
        <v>0</v>
      </c>
      <c r="BB57" s="445" t="str">
        <f t="shared" ref="BB57:BB80" si="118">IF(BA57=0,"НД",AZ57-BA57)</f>
        <v>НД</v>
      </c>
      <c r="BC57" s="303" t="str">
        <f t="shared" si="93"/>
        <v>НД</v>
      </c>
      <c r="BD57" s="503">
        <f t="shared" ref="BD57:BD80" si="119">SUM(AR57,AV57,AZ57)</f>
        <v>0</v>
      </c>
      <c r="BE57" s="402">
        <f t="shared" ref="BE57:BE80" si="120">SUM(AS57,AW57,BA57)</f>
        <v>0</v>
      </c>
      <c r="BF57" s="402" t="str">
        <f t="shared" ref="BF57:BF80" si="121">IF(BE57=0,"НД",BD57-BE57)</f>
        <v>НД</v>
      </c>
      <c r="BG57" s="305" t="str">
        <f t="shared" si="94"/>
        <v>НД</v>
      </c>
      <c r="BH57" s="493">
        <f>SUMIFS('Отчет РПЗ(ПЗ)_ПЗИП'!$W:$W,'Отчет РПЗ(ПЗ)_ПЗИП'!$D:$D,Справочно!$E22,'Отчет РПЗ(ПЗ)_ПЗИП'!$N:$N,"&gt;=01.10.2016",'Отчет РПЗ(ПЗ)_ПЗИП'!$N:$N,"&lt;=31.10.2016",'Отчет РПЗ(ПЗ)_ПЗИП'!$AG:$AG,"&gt;0")</f>
        <v>0</v>
      </c>
      <c r="BI57" s="403">
        <f>SUMIFS('Отчет РПЗ(ПЗ)_ПЗИП'!$AG:$AG,'Отчет РПЗ(ПЗ)_ПЗИП'!$D:$D,Справочно!$E22,'Отчет РПЗ(ПЗ)_ПЗИП'!$AO:$AO,10)</f>
        <v>0</v>
      </c>
      <c r="BJ57" s="447" t="str">
        <f t="shared" ref="BJ57:BJ80" si="122">IF(BI57=0,"НД",BH57-BI57)</f>
        <v>НД</v>
      </c>
      <c r="BK57" s="307" t="str">
        <f t="shared" si="95"/>
        <v>НД</v>
      </c>
      <c r="BL57" s="508">
        <f>SUMIFS('Отчет РПЗ(ПЗ)_ПЗИП'!$W:$W,'Отчет РПЗ(ПЗ)_ПЗИП'!$D:$D,Справочно!$E22,'Отчет РПЗ(ПЗ)_ПЗИП'!$N:$N,"&gt;=01.11.2016",'Отчет РПЗ(ПЗ)_ПЗИП'!$N:$N,"&lt;=30.11.2016",'Отчет РПЗ(ПЗ)_ПЗИП'!$AG:$AG,"&gt;0")</f>
        <v>0</v>
      </c>
      <c r="BM57" s="403">
        <f>SUMIFS('Отчет РПЗ(ПЗ)_ПЗИП'!$AG:$AG,'Отчет РПЗ(ПЗ)_ПЗИП'!$D:$D,Справочно!$E22,'Отчет РПЗ(ПЗ)_ПЗИП'!$AO:$AO,11)</f>
        <v>0</v>
      </c>
      <c r="BN57" s="447" t="str">
        <f t="shared" ref="BN57:BN80" si="123">IF(BM57=0,"НД",BL57-BM57)</f>
        <v>НД</v>
      </c>
      <c r="BO57" s="307" t="str">
        <f t="shared" si="96"/>
        <v>НД</v>
      </c>
      <c r="BP57" s="508">
        <f>SUMIFS('Отчет РПЗ(ПЗ)_ПЗИП'!$W:$W,'Отчет РПЗ(ПЗ)_ПЗИП'!$D:$D,Справочно!$E22,'Отчет РПЗ(ПЗ)_ПЗИП'!$N:$N,"&gt;=01.12.2016",'Отчет РПЗ(ПЗ)_ПЗИП'!$N:$N,"&lt;=31.12.2016",'Отчет РПЗ(ПЗ)_ПЗИП'!$AG:$AG,"&gt;0")</f>
        <v>0</v>
      </c>
      <c r="BQ57" s="403">
        <f>SUMIFS('Отчет РПЗ(ПЗ)_ПЗИП'!$AG:$AG,'Отчет РПЗ(ПЗ)_ПЗИП'!$D:$D,Справочно!$E22,'Отчет РПЗ(ПЗ)_ПЗИП'!$AO:$AO,12)</f>
        <v>0</v>
      </c>
      <c r="BR57" s="447" t="str">
        <f t="shared" ref="BR57:BR80" si="124">IF(BQ57=0,"НД",BP57-BQ57)</f>
        <v>НД</v>
      </c>
      <c r="BS57" s="309" t="str">
        <f t="shared" si="97"/>
        <v>НД</v>
      </c>
      <c r="BT57" s="503">
        <f t="shared" ref="BT57:BT80" si="125">SUM(BH57,BL57,BP57)</f>
        <v>0</v>
      </c>
      <c r="BU57" s="405">
        <f t="shared" ref="BU57:BU80" si="126">SUM(BI57,BM57,BQ57)</f>
        <v>0</v>
      </c>
      <c r="BV57" s="405" t="str">
        <f t="shared" ref="BV57:BV80" si="127">IF(BU57=0,"НД",BT57-BU57)</f>
        <v>НД</v>
      </c>
      <c r="BW57" s="310" t="str">
        <f t="shared" si="98"/>
        <v>НД</v>
      </c>
    </row>
    <row r="58" spans="2:75" ht="15" customHeight="1" thickBot="1" x14ac:dyDescent="0.25">
      <c r="B58" s="58" t="str">
        <f>Справочно!E23</f>
        <v>ОАО "ВО "Технопромэкспорт"</v>
      </c>
      <c r="C58" s="96" t="e">
        <f>ПП!B46</f>
        <v>#REF!</v>
      </c>
      <c r="D58" s="491" t="e">
        <f>ПП!C46</f>
        <v>#REF!</v>
      </c>
      <c r="E58" s="516" t="e">
        <f>ПП!D46</f>
        <v>#REF!</v>
      </c>
      <c r="F58" s="356">
        <f>COUNTIFS('Отчет РПЗ(ПЗ)_ПЗИП'!$AG:$AG,"&gt;0",'Отчет РПЗ(ПЗ)_ПЗИП'!$D:$D,Справочно!$E23)</f>
        <v>0</v>
      </c>
      <c r="G58" s="517" t="e">
        <f t="shared" si="99"/>
        <v>#DIV/0!</v>
      </c>
      <c r="H58" s="518">
        <f>SUMIF('Отчет РПЗ(ПЗ)_ПЗИП'!$D:$D,Справочно!$E23,'Отчет РПЗ(ПЗ)_ПЗИП'!$AG:$AG)</f>
        <v>0</v>
      </c>
      <c r="I58" s="519">
        <f t="shared" si="100"/>
        <v>0</v>
      </c>
      <c r="J58" s="296" t="e">
        <f t="shared" si="101"/>
        <v>#DIV/0!</v>
      </c>
      <c r="L58" s="509">
        <f>SUMIFS('Отчет РПЗ(ПЗ)_ПЗИП'!$W:$W,'Отчет РПЗ(ПЗ)_ПЗИП'!$D:$D,Справочно!$E23,'Отчет РПЗ(ПЗ)_ПЗИП'!$N:$N,"&gt;=01.01.2016",'Отчет РПЗ(ПЗ)_ПЗИП'!$N:$N,"&lt;=31.01.2016",'Отчет РПЗ(ПЗ)_ПЗИП'!$AG:$AG,"&gt;0")</f>
        <v>0</v>
      </c>
      <c r="M58" s="394">
        <f>SUMIFS('Отчет РПЗ(ПЗ)_ПЗИП'!$AG:$AG,'Отчет РПЗ(ПЗ)_ПЗИП'!$D:$D,Справочно!$E23,'Отчет РПЗ(ПЗ)_ПЗИП'!$AO:$AO,1)</f>
        <v>0</v>
      </c>
      <c r="N58" s="406" t="str">
        <f t="shared" si="102"/>
        <v>НД</v>
      </c>
      <c r="O58" s="297" t="str">
        <f t="shared" si="103"/>
        <v>НД</v>
      </c>
      <c r="P58" s="504">
        <f>SUMIFS('Отчет РПЗ(ПЗ)_ПЗИП'!$W:$W,'Отчет РПЗ(ПЗ)_ПЗИП'!$D:$D,Справочно!$E23,'Отчет РПЗ(ПЗ)_ПЗИП'!$N:$N,"&gt;=01.02.2016",'Отчет РПЗ(ПЗ)_ПЗИП'!$N:$N,"&lt;=29.02.2016",'Отчет РПЗ(ПЗ)_ПЗИП'!$AG:$AG,"&gt;0")</f>
        <v>0</v>
      </c>
      <c r="Q58" s="394">
        <f>SUMIFS('Отчет РПЗ(ПЗ)_ПЗИП'!$AG:$AG,'Отчет РПЗ(ПЗ)_ПЗИП'!$D:$D,Справочно!$E23,'Отчет РПЗ(ПЗ)_ПЗИП'!$AO:$AO,2)</f>
        <v>0</v>
      </c>
      <c r="R58" s="406" t="str">
        <f t="shared" si="104"/>
        <v>НД</v>
      </c>
      <c r="S58" s="297" t="str">
        <f t="shared" si="105"/>
        <v>НД</v>
      </c>
      <c r="T58" s="504">
        <f>SUMIFS('Отчет РПЗ(ПЗ)_ПЗИП'!$W:$W,'Отчет РПЗ(ПЗ)_ПЗИП'!$D:$D,Справочно!$E23,'Отчет РПЗ(ПЗ)_ПЗИП'!$N:$N,"&gt;=01.03.2016",'Отчет РПЗ(ПЗ)_ПЗИП'!$N:$N,"&lt;=31.03.2016",'Отчет РПЗ(ПЗ)_ПЗИП'!$AG:$AG,"&gt;0")</f>
        <v>0</v>
      </c>
      <c r="U58" s="394">
        <f>SUMIFS('Отчет РПЗ(ПЗ)_ПЗИП'!$AG:$AG,'Отчет РПЗ(ПЗ)_ПЗИП'!$D:$D,Справочно!$E23,'Отчет РПЗ(ПЗ)_ПЗИП'!$AO:$AO,3)</f>
        <v>0</v>
      </c>
      <c r="V58" s="406" t="str">
        <f t="shared" si="106"/>
        <v>НД</v>
      </c>
      <c r="W58" s="297" t="str">
        <f t="shared" si="85"/>
        <v>НД</v>
      </c>
      <c r="X58" s="503">
        <f t="shared" si="107"/>
        <v>0</v>
      </c>
      <c r="Y58" s="396">
        <f t="shared" si="108"/>
        <v>0</v>
      </c>
      <c r="Z58" s="396" t="str">
        <f t="shared" si="109"/>
        <v>НД</v>
      </c>
      <c r="AA58" s="299" t="str">
        <f t="shared" si="86"/>
        <v>НД</v>
      </c>
      <c r="AB58" s="509">
        <f>SUMIFS('Отчет РПЗ(ПЗ)_ПЗИП'!$W:$W,'Отчет РПЗ(ПЗ)_ПЗИП'!$D:$D,Справочно!$E23,'Отчет РПЗ(ПЗ)_ПЗИП'!$N:$N,"&gt;=01.04.2016",'Отчет РПЗ(ПЗ)_ПЗИП'!$N:$N,"&lt;=30.04.2016",'Отчет РПЗ(ПЗ)_ПЗИП'!$AG:$AG,"&gt;0")</f>
        <v>0</v>
      </c>
      <c r="AC58" s="397">
        <f>SUMIFS('Отчет РПЗ(ПЗ)_ПЗИП'!$AG:$AG,'Отчет РПЗ(ПЗ)_ПЗИП'!$D:$D,Справочно!$E23,'Отчет РПЗ(ПЗ)_ПЗИП'!$AO:$AO,4)</f>
        <v>0</v>
      </c>
      <c r="AD58" s="397" t="str">
        <f t="shared" si="110"/>
        <v>НД</v>
      </c>
      <c r="AE58" s="298" t="str">
        <f t="shared" si="87"/>
        <v>НД</v>
      </c>
      <c r="AF58" s="508">
        <f>SUMIFS('Отчет РПЗ(ПЗ)_ПЗИП'!$W:$W,'Отчет РПЗ(ПЗ)_ПЗИП'!$D:$D,Справочно!$E23,'Отчет РПЗ(ПЗ)_ПЗИП'!$N:$N,"&gt;=01.05.2016",'Отчет РПЗ(ПЗ)_ПЗИП'!$N:$N,"&lt;=31.05.2016",'Отчет РПЗ(ПЗ)_ПЗИП'!$AG:$AG,"&gt;0")</f>
        <v>0</v>
      </c>
      <c r="AG58" s="397">
        <f>SUMIFS('Отчет РПЗ(ПЗ)_ПЗИП'!$AG:$AG,'Отчет РПЗ(ПЗ)_ПЗИП'!$D:$D,Справочно!$E23,'Отчет РПЗ(ПЗ)_ПЗИП'!$AO:$AO,5)</f>
        <v>0</v>
      </c>
      <c r="AH58" s="397" t="str">
        <f t="shared" si="111"/>
        <v>НД</v>
      </c>
      <c r="AI58" s="298" t="str">
        <f t="shared" si="88"/>
        <v>НД</v>
      </c>
      <c r="AJ58" s="508">
        <f>SUMIFS('Отчет РПЗ(ПЗ)_ПЗИП'!$W:$W,'Отчет РПЗ(ПЗ)_ПЗИП'!$D:$D,Справочно!$E23,'Отчет РПЗ(ПЗ)_ПЗИП'!$N:$N,"&gt;=01.06.2016",'Отчет РПЗ(ПЗ)_ПЗИП'!$N:$N,"&lt;=30.06.2016",'Отчет РПЗ(ПЗ)_ПЗИП'!$AG:$AG,"&gt;0")</f>
        <v>0</v>
      </c>
      <c r="AK58" s="397">
        <f>SUMIFS('Отчет РПЗ(ПЗ)_ПЗИП'!$AG:$AG,'Отчет РПЗ(ПЗ)_ПЗИП'!$D:$D,Справочно!$E23,'Отчет РПЗ(ПЗ)_ПЗИП'!$AO:$AO,6)</f>
        <v>0</v>
      </c>
      <c r="AL58" s="397" t="str">
        <f t="shared" si="112"/>
        <v>НД</v>
      </c>
      <c r="AM58" s="298" t="str">
        <f t="shared" si="89"/>
        <v>НД</v>
      </c>
      <c r="AN58" s="503">
        <f t="shared" si="113"/>
        <v>0</v>
      </c>
      <c r="AO58" s="399">
        <f t="shared" si="114"/>
        <v>0</v>
      </c>
      <c r="AP58" s="399" t="str">
        <f t="shared" si="115"/>
        <v>НД</v>
      </c>
      <c r="AQ58" s="301" t="str">
        <f t="shared" si="90"/>
        <v>НД</v>
      </c>
      <c r="AR58" s="509">
        <f>SUMIFS('Отчет РПЗ(ПЗ)_ПЗИП'!$W:$W,'Отчет РПЗ(ПЗ)_ПЗИП'!$D:$D,Справочно!$E23,'Отчет РПЗ(ПЗ)_ПЗИП'!$N:$N,"&gt;=01.07.2016",'Отчет РПЗ(ПЗ)_ПЗИП'!$N:$N,"&lt;=31.07.2016",'Отчет РПЗ(ПЗ)_ПЗИП'!$AG:$AG,"&gt;0")</f>
        <v>0</v>
      </c>
      <c r="AS58" s="400">
        <f>SUMIFS('Отчет РПЗ(ПЗ)_ПЗИП'!$AG:$AG,'Отчет РПЗ(ПЗ)_ПЗИП'!$D:$D,Справочно!$E23,'Отчет РПЗ(ПЗ)_ПЗИП'!$AO:$AO,7)</f>
        <v>0</v>
      </c>
      <c r="AT58" s="445" t="str">
        <f t="shared" si="116"/>
        <v>НД</v>
      </c>
      <c r="AU58" s="303" t="str">
        <f t="shared" si="91"/>
        <v>НД</v>
      </c>
      <c r="AV58" s="504">
        <f>SUMIFS('Отчет РПЗ(ПЗ)_ПЗИП'!$W:$W,'Отчет РПЗ(ПЗ)_ПЗИП'!$D:$D,Справочно!$E23,'Отчет РПЗ(ПЗ)_ПЗИП'!$N:$N,"&gt;=01.08.2016",'Отчет РПЗ(ПЗ)_ПЗИП'!$N:$N,"&lt;=31.08.2016",'Отчет РПЗ(ПЗ)_ПЗИП'!$AG:$AG,"&gt;0")</f>
        <v>0</v>
      </c>
      <c r="AW58" s="400">
        <f>SUMIFS('Отчет РПЗ(ПЗ)_ПЗИП'!$AG:$AG,'Отчет РПЗ(ПЗ)_ПЗИП'!$D:$D,Справочно!$E23,'Отчет РПЗ(ПЗ)_ПЗИП'!$AO:$AO,8)</f>
        <v>0</v>
      </c>
      <c r="AX58" s="445" t="str">
        <f t="shared" si="117"/>
        <v>НД</v>
      </c>
      <c r="AY58" s="303" t="str">
        <f t="shared" si="92"/>
        <v>НД</v>
      </c>
      <c r="AZ58" s="504">
        <f>SUMIFS('Отчет РПЗ(ПЗ)_ПЗИП'!$W:$W,'Отчет РПЗ(ПЗ)_ПЗИП'!$D:$D,Справочно!$E23,'Отчет РПЗ(ПЗ)_ПЗИП'!$N:$N,"&gt;=01.09.2016",'Отчет РПЗ(ПЗ)_ПЗИП'!$N:$N,"&lt;=30.09.2016",'Отчет РПЗ(ПЗ)_ПЗИП'!$AG:$AG,"&gt;0")</f>
        <v>0</v>
      </c>
      <c r="BA58" s="400">
        <f>SUMIFS('Отчет РПЗ(ПЗ)_ПЗИП'!$AG:$AG,'Отчет РПЗ(ПЗ)_ПЗИП'!$D:$D,Справочно!$E23,'Отчет РПЗ(ПЗ)_ПЗИП'!$AO:$AO,9)</f>
        <v>0</v>
      </c>
      <c r="BB58" s="445" t="str">
        <f t="shared" si="118"/>
        <v>НД</v>
      </c>
      <c r="BC58" s="303" t="str">
        <f t="shared" si="93"/>
        <v>НД</v>
      </c>
      <c r="BD58" s="503">
        <f t="shared" si="119"/>
        <v>0</v>
      </c>
      <c r="BE58" s="402">
        <f t="shared" si="120"/>
        <v>0</v>
      </c>
      <c r="BF58" s="402" t="str">
        <f t="shared" si="121"/>
        <v>НД</v>
      </c>
      <c r="BG58" s="305" t="str">
        <f t="shared" si="94"/>
        <v>НД</v>
      </c>
      <c r="BH58" s="493">
        <f>SUMIFS('Отчет РПЗ(ПЗ)_ПЗИП'!$W:$W,'Отчет РПЗ(ПЗ)_ПЗИП'!$D:$D,Справочно!$E23,'Отчет РПЗ(ПЗ)_ПЗИП'!$N:$N,"&gt;=01.10.2016",'Отчет РПЗ(ПЗ)_ПЗИП'!$N:$N,"&lt;=31.10.2016",'Отчет РПЗ(ПЗ)_ПЗИП'!$AG:$AG,"&gt;0")</f>
        <v>0</v>
      </c>
      <c r="BI58" s="403">
        <f>SUMIFS('Отчет РПЗ(ПЗ)_ПЗИП'!$AG:$AG,'Отчет РПЗ(ПЗ)_ПЗИП'!$D:$D,Справочно!$E23,'Отчет РПЗ(ПЗ)_ПЗИП'!$AO:$AO,10)</f>
        <v>0</v>
      </c>
      <c r="BJ58" s="447" t="str">
        <f t="shared" si="122"/>
        <v>НД</v>
      </c>
      <c r="BK58" s="307" t="str">
        <f t="shared" si="95"/>
        <v>НД</v>
      </c>
      <c r="BL58" s="508">
        <f>SUMIFS('Отчет РПЗ(ПЗ)_ПЗИП'!$W:$W,'Отчет РПЗ(ПЗ)_ПЗИП'!$D:$D,Справочно!$E23,'Отчет РПЗ(ПЗ)_ПЗИП'!$N:$N,"&gt;=01.11.2016",'Отчет РПЗ(ПЗ)_ПЗИП'!$N:$N,"&lt;=30.11.2016",'Отчет РПЗ(ПЗ)_ПЗИП'!$AG:$AG,"&gt;0")</f>
        <v>0</v>
      </c>
      <c r="BM58" s="403">
        <f>SUMIFS('Отчет РПЗ(ПЗ)_ПЗИП'!$AG:$AG,'Отчет РПЗ(ПЗ)_ПЗИП'!$D:$D,Справочно!$E23,'Отчет РПЗ(ПЗ)_ПЗИП'!$AO:$AO,11)</f>
        <v>0</v>
      </c>
      <c r="BN58" s="447" t="str">
        <f t="shared" si="123"/>
        <v>НД</v>
      </c>
      <c r="BO58" s="307" t="str">
        <f t="shared" si="96"/>
        <v>НД</v>
      </c>
      <c r="BP58" s="508">
        <f>SUMIFS('Отчет РПЗ(ПЗ)_ПЗИП'!$W:$W,'Отчет РПЗ(ПЗ)_ПЗИП'!$D:$D,Справочно!$E23,'Отчет РПЗ(ПЗ)_ПЗИП'!$N:$N,"&gt;=01.12.2016",'Отчет РПЗ(ПЗ)_ПЗИП'!$N:$N,"&lt;=31.12.2016",'Отчет РПЗ(ПЗ)_ПЗИП'!$AG:$AG,"&gt;0")</f>
        <v>0</v>
      </c>
      <c r="BQ58" s="403">
        <f>SUMIFS('Отчет РПЗ(ПЗ)_ПЗИП'!$AG:$AG,'Отчет РПЗ(ПЗ)_ПЗИП'!$D:$D,Справочно!$E23,'Отчет РПЗ(ПЗ)_ПЗИП'!$AO:$AO,12)</f>
        <v>0</v>
      </c>
      <c r="BR58" s="447" t="str">
        <f t="shared" si="124"/>
        <v>НД</v>
      </c>
      <c r="BS58" s="309" t="str">
        <f t="shared" si="97"/>
        <v>НД</v>
      </c>
      <c r="BT58" s="503">
        <f t="shared" si="125"/>
        <v>0</v>
      </c>
      <c r="BU58" s="405">
        <f t="shared" si="126"/>
        <v>0</v>
      </c>
      <c r="BV58" s="405" t="str">
        <f t="shared" si="127"/>
        <v>НД</v>
      </c>
      <c r="BW58" s="310" t="str">
        <f t="shared" si="98"/>
        <v>НД</v>
      </c>
    </row>
    <row r="59" spans="2:75" ht="15" customHeight="1" thickBot="1" x14ac:dyDescent="0.25">
      <c r="B59" s="58" t="str">
        <f>Справочно!E24</f>
        <v>ОАО "РТ-Логистика"</v>
      </c>
      <c r="C59" s="96" t="e">
        <f>ПП!B47</f>
        <v>#REF!</v>
      </c>
      <c r="D59" s="491" t="e">
        <f>ПП!C47</f>
        <v>#REF!</v>
      </c>
      <c r="E59" s="516" t="e">
        <f>ПП!D47</f>
        <v>#REF!</v>
      </c>
      <c r="F59" s="356">
        <f>COUNTIFS('Отчет РПЗ(ПЗ)_ПЗИП'!$AG:$AG,"&gt;0",'Отчет РПЗ(ПЗ)_ПЗИП'!$D:$D,Справочно!$E24)</f>
        <v>0</v>
      </c>
      <c r="G59" s="517" t="e">
        <f t="shared" si="99"/>
        <v>#DIV/0!</v>
      </c>
      <c r="H59" s="518">
        <f>SUMIF('Отчет РПЗ(ПЗ)_ПЗИП'!$D:$D,Справочно!$E24,'Отчет РПЗ(ПЗ)_ПЗИП'!$AG:$AG)</f>
        <v>0</v>
      </c>
      <c r="I59" s="519">
        <f t="shared" si="100"/>
        <v>0</v>
      </c>
      <c r="J59" s="296" t="e">
        <f t="shared" si="101"/>
        <v>#DIV/0!</v>
      </c>
      <c r="L59" s="509">
        <f>SUMIFS('Отчет РПЗ(ПЗ)_ПЗИП'!$W:$W,'Отчет РПЗ(ПЗ)_ПЗИП'!$D:$D,Справочно!$E24,'Отчет РПЗ(ПЗ)_ПЗИП'!$N:$N,"&gt;=01.01.2016",'Отчет РПЗ(ПЗ)_ПЗИП'!$N:$N,"&lt;=31.01.2016",'Отчет РПЗ(ПЗ)_ПЗИП'!$AG:$AG,"&gt;0")</f>
        <v>0</v>
      </c>
      <c r="M59" s="394">
        <f>SUMIFS('Отчет РПЗ(ПЗ)_ПЗИП'!$AG:$AG,'Отчет РПЗ(ПЗ)_ПЗИП'!$D:$D,Справочно!$E24,'Отчет РПЗ(ПЗ)_ПЗИП'!$AO:$AO,1)</f>
        <v>0</v>
      </c>
      <c r="N59" s="406" t="str">
        <f t="shared" si="102"/>
        <v>НД</v>
      </c>
      <c r="O59" s="297" t="str">
        <f t="shared" si="103"/>
        <v>НД</v>
      </c>
      <c r="P59" s="504">
        <f>SUMIFS('Отчет РПЗ(ПЗ)_ПЗИП'!$W:$W,'Отчет РПЗ(ПЗ)_ПЗИП'!$D:$D,Справочно!$E24,'Отчет РПЗ(ПЗ)_ПЗИП'!$N:$N,"&gt;=01.02.2016",'Отчет РПЗ(ПЗ)_ПЗИП'!$N:$N,"&lt;=29.02.2016",'Отчет РПЗ(ПЗ)_ПЗИП'!$AG:$AG,"&gt;0")</f>
        <v>0</v>
      </c>
      <c r="Q59" s="394">
        <f>SUMIFS('Отчет РПЗ(ПЗ)_ПЗИП'!$AG:$AG,'Отчет РПЗ(ПЗ)_ПЗИП'!$D:$D,Справочно!$E24,'Отчет РПЗ(ПЗ)_ПЗИП'!$AO:$AO,2)</f>
        <v>0</v>
      </c>
      <c r="R59" s="406" t="str">
        <f t="shared" si="104"/>
        <v>НД</v>
      </c>
      <c r="S59" s="297" t="str">
        <f t="shared" si="105"/>
        <v>НД</v>
      </c>
      <c r="T59" s="504">
        <f>SUMIFS('Отчет РПЗ(ПЗ)_ПЗИП'!$W:$W,'Отчет РПЗ(ПЗ)_ПЗИП'!$D:$D,Справочно!$E24,'Отчет РПЗ(ПЗ)_ПЗИП'!$N:$N,"&gt;=01.03.2016",'Отчет РПЗ(ПЗ)_ПЗИП'!$N:$N,"&lt;=31.03.2016",'Отчет РПЗ(ПЗ)_ПЗИП'!$AG:$AG,"&gt;0")</f>
        <v>0</v>
      </c>
      <c r="U59" s="394">
        <f>SUMIFS('Отчет РПЗ(ПЗ)_ПЗИП'!$AG:$AG,'Отчет РПЗ(ПЗ)_ПЗИП'!$D:$D,Справочно!$E24,'Отчет РПЗ(ПЗ)_ПЗИП'!$AO:$AO,3)</f>
        <v>0</v>
      </c>
      <c r="V59" s="406" t="str">
        <f t="shared" si="106"/>
        <v>НД</v>
      </c>
      <c r="W59" s="297" t="str">
        <f t="shared" si="85"/>
        <v>НД</v>
      </c>
      <c r="X59" s="503">
        <f t="shared" si="107"/>
        <v>0</v>
      </c>
      <c r="Y59" s="396">
        <f t="shared" si="108"/>
        <v>0</v>
      </c>
      <c r="Z59" s="396" t="str">
        <f t="shared" si="109"/>
        <v>НД</v>
      </c>
      <c r="AA59" s="299" t="str">
        <f t="shared" si="86"/>
        <v>НД</v>
      </c>
      <c r="AB59" s="509">
        <f>SUMIFS('Отчет РПЗ(ПЗ)_ПЗИП'!$W:$W,'Отчет РПЗ(ПЗ)_ПЗИП'!$D:$D,Справочно!$E24,'Отчет РПЗ(ПЗ)_ПЗИП'!$N:$N,"&gt;=01.04.2016",'Отчет РПЗ(ПЗ)_ПЗИП'!$N:$N,"&lt;=30.04.2016",'Отчет РПЗ(ПЗ)_ПЗИП'!$AG:$AG,"&gt;0")</f>
        <v>0</v>
      </c>
      <c r="AC59" s="397">
        <f>SUMIFS('Отчет РПЗ(ПЗ)_ПЗИП'!$AG:$AG,'Отчет РПЗ(ПЗ)_ПЗИП'!$D:$D,Справочно!$E24,'Отчет РПЗ(ПЗ)_ПЗИП'!$AO:$AO,4)</f>
        <v>0</v>
      </c>
      <c r="AD59" s="397" t="str">
        <f t="shared" si="110"/>
        <v>НД</v>
      </c>
      <c r="AE59" s="298" t="str">
        <f t="shared" si="87"/>
        <v>НД</v>
      </c>
      <c r="AF59" s="508">
        <f>SUMIFS('Отчет РПЗ(ПЗ)_ПЗИП'!$W:$W,'Отчет РПЗ(ПЗ)_ПЗИП'!$D:$D,Справочно!$E24,'Отчет РПЗ(ПЗ)_ПЗИП'!$N:$N,"&gt;=01.05.2016",'Отчет РПЗ(ПЗ)_ПЗИП'!$N:$N,"&lt;=31.05.2016",'Отчет РПЗ(ПЗ)_ПЗИП'!$AG:$AG,"&gt;0")</f>
        <v>0</v>
      </c>
      <c r="AG59" s="397">
        <f>SUMIFS('Отчет РПЗ(ПЗ)_ПЗИП'!$AG:$AG,'Отчет РПЗ(ПЗ)_ПЗИП'!$D:$D,Справочно!$E24,'Отчет РПЗ(ПЗ)_ПЗИП'!$AO:$AO,5)</f>
        <v>0</v>
      </c>
      <c r="AH59" s="397" t="str">
        <f t="shared" si="111"/>
        <v>НД</v>
      </c>
      <c r="AI59" s="298" t="str">
        <f t="shared" si="88"/>
        <v>НД</v>
      </c>
      <c r="AJ59" s="508">
        <f>SUMIFS('Отчет РПЗ(ПЗ)_ПЗИП'!$W:$W,'Отчет РПЗ(ПЗ)_ПЗИП'!$D:$D,Справочно!$E24,'Отчет РПЗ(ПЗ)_ПЗИП'!$N:$N,"&gt;=01.06.2016",'Отчет РПЗ(ПЗ)_ПЗИП'!$N:$N,"&lt;=30.06.2016",'Отчет РПЗ(ПЗ)_ПЗИП'!$AG:$AG,"&gt;0")</f>
        <v>0</v>
      </c>
      <c r="AK59" s="397">
        <f>SUMIFS('Отчет РПЗ(ПЗ)_ПЗИП'!$AG:$AG,'Отчет РПЗ(ПЗ)_ПЗИП'!$D:$D,Справочно!$E24,'Отчет РПЗ(ПЗ)_ПЗИП'!$AO:$AO,6)</f>
        <v>0</v>
      </c>
      <c r="AL59" s="397" t="str">
        <f t="shared" si="112"/>
        <v>НД</v>
      </c>
      <c r="AM59" s="298" t="str">
        <f t="shared" si="89"/>
        <v>НД</v>
      </c>
      <c r="AN59" s="503">
        <f t="shared" si="113"/>
        <v>0</v>
      </c>
      <c r="AO59" s="399">
        <f t="shared" si="114"/>
        <v>0</v>
      </c>
      <c r="AP59" s="399" t="str">
        <f t="shared" si="115"/>
        <v>НД</v>
      </c>
      <c r="AQ59" s="301" t="str">
        <f t="shared" si="90"/>
        <v>НД</v>
      </c>
      <c r="AR59" s="509">
        <f>SUMIFS('Отчет РПЗ(ПЗ)_ПЗИП'!$W:$W,'Отчет РПЗ(ПЗ)_ПЗИП'!$D:$D,Справочно!$E24,'Отчет РПЗ(ПЗ)_ПЗИП'!$N:$N,"&gt;=01.07.2016",'Отчет РПЗ(ПЗ)_ПЗИП'!$N:$N,"&lt;=31.07.2016",'Отчет РПЗ(ПЗ)_ПЗИП'!$AG:$AG,"&gt;0")</f>
        <v>0</v>
      </c>
      <c r="AS59" s="400">
        <f>SUMIFS('Отчет РПЗ(ПЗ)_ПЗИП'!$AG:$AG,'Отчет РПЗ(ПЗ)_ПЗИП'!$D:$D,Справочно!$E24,'Отчет РПЗ(ПЗ)_ПЗИП'!$AO:$AO,7)</f>
        <v>0</v>
      </c>
      <c r="AT59" s="445" t="str">
        <f t="shared" si="116"/>
        <v>НД</v>
      </c>
      <c r="AU59" s="303" t="str">
        <f t="shared" si="91"/>
        <v>НД</v>
      </c>
      <c r="AV59" s="504">
        <f>SUMIFS('Отчет РПЗ(ПЗ)_ПЗИП'!$W:$W,'Отчет РПЗ(ПЗ)_ПЗИП'!$D:$D,Справочно!$E24,'Отчет РПЗ(ПЗ)_ПЗИП'!$N:$N,"&gt;=01.08.2016",'Отчет РПЗ(ПЗ)_ПЗИП'!$N:$N,"&lt;=31.08.2016",'Отчет РПЗ(ПЗ)_ПЗИП'!$AG:$AG,"&gt;0")</f>
        <v>0</v>
      </c>
      <c r="AW59" s="400">
        <f>SUMIFS('Отчет РПЗ(ПЗ)_ПЗИП'!$AG:$AG,'Отчет РПЗ(ПЗ)_ПЗИП'!$D:$D,Справочно!$E24,'Отчет РПЗ(ПЗ)_ПЗИП'!$AO:$AO,8)</f>
        <v>0</v>
      </c>
      <c r="AX59" s="445" t="str">
        <f t="shared" si="117"/>
        <v>НД</v>
      </c>
      <c r="AY59" s="303" t="str">
        <f t="shared" si="92"/>
        <v>НД</v>
      </c>
      <c r="AZ59" s="504">
        <f>SUMIFS('Отчет РПЗ(ПЗ)_ПЗИП'!$W:$W,'Отчет РПЗ(ПЗ)_ПЗИП'!$D:$D,Справочно!$E24,'Отчет РПЗ(ПЗ)_ПЗИП'!$N:$N,"&gt;=01.09.2016",'Отчет РПЗ(ПЗ)_ПЗИП'!$N:$N,"&lt;=30.09.2016",'Отчет РПЗ(ПЗ)_ПЗИП'!$AG:$AG,"&gt;0")</f>
        <v>0</v>
      </c>
      <c r="BA59" s="400">
        <f>SUMIFS('Отчет РПЗ(ПЗ)_ПЗИП'!$AG:$AG,'Отчет РПЗ(ПЗ)_ПЗИП'!$D:$D,Справочно!$E24,'Отчет РПЗ(ПЗ)_ПЗИП'!$AO:$AO,9)</f>
        <v>0</v>
      </c>
      <c r="BB59" s="445" t="str">
        <f t="shared" si="118"/>
        <v>НД</v>
      </c>
      <c r="BC59" s="303" t="str">
        <f t="shared" si="93"/>
        <v>НД</v>
      </c>
      <c r="BD59" s="503">
        <f t="shared" si="119"/>
        <v>0</v>
      </c>
      <c r="BE59" s="402">
        <f t="shared" si="120"/>
        <v>0</v>
      </c>
      <c r="BF59" s="402" t="str">
        <f t="shared" si="121"/>
        <v>НД</v>
      </c>
      <c r="BG59" s="305" t="str">
        <f t="shared" si="94"/>
        <v>НД</v>
      </c>
      <c r="BH59" s="493">
        <f>SUMIFS('Отчет РПЗ(ПЗ)_ПЗИП'!$W:$W,'Отчет РПЗ(ПЗ)_ПЗИП'!$D:$D,Справочно!$E24,'Отчет РПЗ(ПЗ)_ПЗИП'!$N:$N,"&gt;=01.10.2016",'Отчет РПЗ(ПЗ)_ПЗИП'!$N:$N,"&lt;=31.10.2016",'Отчет РПЗ(ПЗ)_ПЗИП'!$AG:$AG,"&gt;0")</f>
        <v>0</v>
      </c>
      <c r="BI59" s="403">
        <f>SUMIFS('Отчет РПЗ(ПЗ)_ПЗИП'!$AG:$AG,'Отчет РПЗ(ПЗ)_ПЗИП'!$D:$D,Справочно!$E24,'Отчет РПЗ(ПЗ)_ПЗИП'!$AO:$AO,10)</f>
        <v>0</v>
      </c>
      <c r="BJ59" s="447" t="str">
        <f t="shared" si="122"/>
        <v>НД</v>
      </c>
      <c r="BK59" s="307" t="str">
        <f t="shared" si="95"/>
        <v>НД</v>
      </c>
      <c r="BL59" s="508">
        <f>SUMIFS('Отчет РПЗ(ПЗ)_ПЗИП'!$W:$W,'Отчет РПЗ(ПЗ)_ПЗИП'!$D:$D,Справочно!$E24,'Отчет РПЗ(ПЗ)_ПЗИП'!$N:$N,"&gt;=01.11.2016",'Отчет РПЗ(ПЗ)_ПЗИП'!$N:$N,"&lt;=30.11.2016",'Отчет РПЗ(ПЗ)_ПЗИП'!$AG:$AG,"&gt;0")</f>
        <v>0</v>
      </c>
      <c r="BM59" s="403">
        <f>SUMIFS('Отчет РПЗ(ПЗ)_ПЗИП'!$AG:$AG,'Отчет РПЗ(ПЗ)_ПЗИП'!$D:$D,Справочно!$E24,'Отчет РПЗ(ПЗ)_ПЗИП'!$AO:$AO,11)</f>
        <v>0</v>
      </c>
      <c r="BN59" s="447" t="str">
        <f t="shared" si="123"/>
        <v>НД</v>
      </c>
      <c r="BO59" s="307" t="str">
        <f t="shared" si="96"/>
        <v>НД</v>
      </c>
      <c r="BP59" s="508">
        <f>SUMIFS('Отчет РПЗ(ПЗ)_ПЗИП'!$W:$W,'Отчет РПЗ(ПЗ)_ПЗИП'!$D:$D,Справочно!$E24,'Отчет РПЗ(ПЗ)_ПЗИП'!$N:$N,"&gt;=01.12.2016",'Отчет РПЗ(ПЗ)_ПЗИП'!$N:$N,"&lt;=31.12.2016",'Отчет РПЗ(ПЗ)_ПЗИП'!$AG:$AG,"&gt;0")</f>
        <v>0</v>
      </c>
      <c r="BQ59" s="403">
        <f>SUMIFS('Отчет РПЗ(ПЗ)_ПЗИП'!$AG:$AG,'Отчет РПЗ(ПЗ)_ПЗИП'!$D:$D,Справочно!$E24,'Отчет РПЗ(ПЗ)_ПЗИП'!$AO:$AO,12)</f>
        <v>0</v>
      </c>
      <c r="BR59" s="447" t="str">
        <f t="shared" si="124"/>
        <v>НД</v>
      </c>
      <c r="BS59" s="309" t="str">
        <f t="shared" si="97"/>
        <v>НД</v>
      </c>
      <c r="BT59" s="503">
        <f t="shared" si="125"/>
        <v>0</v>
      </c>
      <c r="BU59" s="405">
        <f t="shared" si="126"/>
        <v>0</v>
      </c>
      <c r="BV59" s="405" t="str">
        <f t="shared" si="127"/>
        <v>НД</v>
      </c>
      <c r="BW59" s="310" t="str">
        <f t="shared" si="98"/>
        <v>НД</v>
      </c>
    </row>
    <row r="60" spans="2:75" ht="15" customHeight="1" thickBot="1" x14ac:dyDescent="0.25">
      <c r="B60" s="58" t="str">
        <f>Справочно!E25</f>
        <v>ОАО "РТ-Медицина"</v>
      </c>
      <c r="C60" s="96" t="e">
        <f>ПП!B48</f>
        <v>#REF!</v>
      </c>
      <c r="D60" s="491" t="e">
        <f>ПП!C48</f>
        <v>#REF!</v>
      </c>
      <c r="E60" s="516" t="e">
        <f>ПП!D48</f>
        <v>#REF!</v>
      </c>
      <c r="F60" s="356">
        <f>COUNTIFS('Отчет РПЗ(ПЗ)_ПЗИП'!$AG:$AG,"&gt;0",'Отчет РПЗ(ПЗ)_ПЗИП'!$D:$D,Справочно!$E25)</f>
        <v>0</v>
      </c>
      <c r="G60" s="517" t="e">
        <f t="shared" si="99"/>
        <v>#DIV/0!</v>
      </c>
      <c r="H60" s="518">
        <f>SUMIF('Отчет РПЗ(ПЗ)_ПЗИП'!$D:$D,Справочно!$E25,'Отчет РПЗ(ПЗ)_ПЗИП'!$AG:$AG)</f>
        <v>0</v>
      </c>
      <c r="I60" s="519">
        <f t="shared" si="100"/>
        <v>0</v>
      </c>
      <c r="J60" s="296" t="e">
        <f t="shared" si="101"/>
        <v>#DIV/0!</v>
      </c>
      <c r="L60" s="509">
        <f>SUMIFS('Отчет РПЗ(ПЗ)_ПЗИП'!$W:$W,'Отчет РПЗ(ПЗ)_ПЗИП'!$D:$D,Справочно!$E25,'Отчет РПЗ(ПЗ)_ПЗИП'!$N:$N,"&gt;=01.01.2016",'Отчет РПЗ(ПЗ)_ПЗИП'!$N:$N,"&lt;=31.01.2016",'Отчет РПЗ(ПЗ)_ПЗИП'!$AG:$AG,"&gt;0")</f>
        <v>0</v>
      </c>
      <c r="M60" s="394">
        <f>SUMIFS('Отчет РПЗ(ПЗ)_ПЗИП'!$AG:$AG,'Отчет РПЗ(ПЗ)_ПЗИП'!$D:$D,Справочно!$E25,'Отчет РПЗ(ПЗ)_ПЗИП'!$AO:$AO,1)</f>
        <v>0</v>
      </c>
      <c r="N60" s="406" t="str">
        <f t="shared" si="102"/>
        <v>НД</v>
      </c>
      <c r="O60" s="297" t="str">
        <f t="shared" si="103"/>
        <v>НД</v>
      </c>
      <c r="P60" s="504">
        <f>SUMIFS('Отчет РПЗ(ПЗ)_ПЗИП'!$W:$W,'Отчет РПЗ(ПЗ)_ПЗИП'!$D:$D,Справочно!$E25,'Отчет РПЗ(ПЗ)_ПЗИП'!$N:$N,"&gt;=01.02.2016",'Отчет РПЗ(ПЗ)_ПЗИП'!$N:$N,"&lt;=29.02.2016",'Отчет РПЗ(ПЗ)_ПЗИП'!$AG:$AG,"&gt;0")</f>
        <v>0</v>
      </c>
      <c r="Q60" s="394">
        <f>SUMIFS('Отчет РПЗ(ПЗ)_ПЗИП'!$AG:$AG,'Отчет РПЗ(ПЗ)_ПЗИП'!$D:$D,Справочно!$E25,'Отчет РПЗ(ПЗ)_ПЗИП'!$AO:$AO,2)</f>
        <v>0</v>
      </c>
      <c r="R60" s="406" t="str">
        <f t="shared" si="104"/>
        <v>НД</v>
      </c>
      <c r="S60" s="297" t="str">
        <f t="shared" si="105"/>
        <v>НД</v>
      </c>
      <c r="T60" s="504">
        <f>SUMIFS('Отчет РПЗ(ПЗ)_ПЗИП'!$W:$W,'Отчет РПЗ(ПЗ)_ПЗИП'!$D:$D,Справочно!$E25,'Отчет РПЗ(ПЗ)_ПЗИП'!$N:$N,"&gt;=01.03.2016",'Отчет РПЗ(ПЗ)_ПЗИП'!$N:$N,"&lt;=31.03.2016",'Отчет РПЗ(ПЗ)_ПЗИП'!$AG:$AG,"&gt;0")</f>
        <v>0</v>
      </c>
      <c r="U60" s="394">
        <f>SUMIFS('Отчет РПЗ(ПЗ)_ПЗИП'!$AG:$AG,'Отчет РПЗ(ПЗ)_ПЗИП'!$D:$D,Справочно!$E25,'Отчет РПЗ(ПЗ)_ПЗИП'!$AO:$AO,3)</f>
        <v>0</v>
      </c>
      <c r="V60" s="406" t="str">
        <f t="shared" si="106"/>
        <v>НД</v>
      </c>
      <c r="W60" s="297" t="str">
        <f t="shared" si="85"/>
        <v>НД</v>
      </c>
      <c r="X60" s="503">
        <f t="shared" si="107"/>
        <v>0</v>
      </c>
      <c r="Y60" s="396">
        <f t="shared" si="108"/>
        <v>0</v>
      </c>
      <c r="Z60" s="396" t="str">
        <f t="shared" si="109"/>
        <v>НД</v>
      </c>
      <c r="AA60" s="299" t="str">
        <f t="shared" si="86"/>
        <v>НД</v>
      </c>
      <c r="AB60" s="509">
        <f>SUMIFS('Отчет РПЗ(ПЗ)_ПЗИП'!$W:$W,'Отчет РПЗ(ПЗ)_ПЗИП'!$D:$D,Справочно!$E25,'Отчет РПЗ(ПЗ)_ПЗИП'!$N:$N,"&gt;=01.04.2016",'Отчет РПЗ(ПЗ)_ПЗИП'!$N:$N,"&lt;=30.04.2016",'Отчет РПЗ(ПЗ)_ПЗИП'!$AG:$AG,"&gt;0")</f>
        <v>0</v>
      </c>
      <c r="AC60" s="397">
        <f>SUMIFS('Отчет РПЗ(ПЗ)_ПЗИП'!$AG:$AG,'Отчет РПЗ(ПЗ)_ПЗИП'!$D:$D,Справочно!$E25,'Отчет РПЗ(ПЗ)_ПЗИП'!$AO:$AO,4)</f>
        <v>0</v>
      </c>
      <c r="AD60" s="397" t="str">
        <f t="shared" si="110"/>
        <v>НД</v>
      </c>
      <c r="AE60" s="298" t="str">
        <f t="shared" si="87"/>
        <v>НД</v>
      </c>
      <c r="AF60" s="508">
        <f>SUMIFS('Отчет РПЗ(ПЗ)_ПЗИП'!$W:$W,'Отчет РПЗ(ПЗ)_ПЗИП'!$D:$D,Справочно!$E25,'Отчет РПЗ(ПЗ)_ПЗИП'!$N:$N,"&gt;=01.05.2016",'Отчет РПЗ(ПЗ)_ПЗИП'!$N:$N,"&lt;=31.05.2016",'Отчет РПЗ(ПЗ)_ПЗИП'!$AG:$AG,"&gt;0")</f>
        <v>0</v>
      </c>
      <c r="AG60" s="397">
        <f>SUMIFS('Отчет РПЗ(ПЗ)_ПЗИП'!$AG:$AG,'Отчет РПЗ(ПЗ)_ПЗИП'!$D:$D,Справочно!$E25,'Отчет РПЗ(ПЗ)_ПЗИП'!$AO:$AO,5)</f>
        <v>0</v>
      </c>
      <c r="AH60" s="397" t="str">
        <f t="shared" si="111"/>
        <v>НД</v>
      </c>
      <c r="AI60" s="298" t="str">
        <f t="shared" si="88"/>
        <v>НД</v>
      </c>
      <c r="AJ60" s="508">
        <f>SUMIFS('Отчет РПЗ(ПЗ)_ПЗИП'!$W:$W,'Отчет РПЗ(ПЗ)_ПЗИП'!$D:$D,Справочно!$E25,'Отчет РПЗ(ПЗ)_ПЗИП'!$N:$N,"&gt;=01.06.2016",'Отчет РПЗ(ПЗ)_ПЗИП'!$N:$N,"&lt;=30.06.2016",'Отчет РПЗ(ПЗ)_ПЗИП'!$AG:$AG,"&gt;0")</f>
        <v>0</v>
      </c>
      <c r="AK60" s="397">
        <f>SUMIFS('Отчет РПЗ(ПЗ)_ПЗИП'!$AG:$AG,'Отчет РПЗ(ПЗ)_ПЗИП'!$D:$D,Справочно!$E25,'Отчет РПЗ(ПЗ)_ПЗИП'!$AO:$AO,6)</f>
        <v>0</v>
      </c>
      <c r="AL60" s="397" t="str">
        <f t="shared" si="112"/>
        <v>НД</v>
      </c>
      <c r="AM60" s="298" t="str">
        <f t="shared" si="89"/>
        <v>НД</v>
      </c>
      <c r="AN60" s="503">
        <f t="shared" si="113"/>
        <v>0</v>
      </c>
      <c r="AO60" s="399">
        <f t="shared" si="114"/>
        <v>0</v>
      </c>
      <c r="AP60" s="399" t="str">
        <f t="shared" si="115"/>
        <v>НД</v>
      </c>
      <c r="AQ60" s="301" t="str">
        <f t="shared" si="90"/>
        <v>НД</v>
      </c>
      <c r="AR60" s="509">
        <f>SUMIFS('Отчет РПЗ(ПЗ)_ПЗИП'!$W:$W,'Отчет РПЗ(ПЗ)_ПЗИП'!$D:$D,Справочно!$E25,'Отчет РПЗ(ПЗ)_ПЗИП'!$N:$N,"&gt;=01.07.2016",'Отчет РПЗ(ПЗ)_ПЗИП'!$N:$N,"&lt;=31.07.2016",'Отчет РПЗ(ПЗ)_ПЗИП'!$AG:$AG,"&gt;0")</f>
        <v>0</v>
      </c>
      <c r="AS60" s="400">
        <f>SUMIFS('Отчет РПЗ(ПЗ)_ПЗИП'!$AG:$AG,'Отчет РПЗ(ПЗ)_ПЗИП'!$D:$D,Справочно!$E25,'Отчет РПЗ(ПЗ)_ПЗИП'!$AO:$AO,7)</f>
        <v>0</v>
      </c>
      <c r="AT60" s="445" t="str">
        <f t="shared" si="116"/>
        <v>НД</v>
      </c>
      <c r="AU60" s="303" t="str">
        <f t="shared" si="91"/>
        <v>НД</v>
      </c>
      <c r="AV60" s="504">
        <f>SUMIFS('Отчет РПЗ(ПЗ)_ПЗИП'!$W:$W,'Отчет РПЗ(ПЗ)_ПЗИП'!$D:$D,Справочно!$E25,'Отчет РПЗ(ПЗ)_ПЗИП'!$N:$N,"&gt;=01.08.2016",'Отчет РПЗ(ПЗ)_ПЗИП'!$N:$N,"&lt;=31.08.2016",'Отчет РПЗ(ПЗ)_ПЗИП'!$AG:$AG,"&gt;0")</f>
        <v>0</v>
      </c>
      <c r="AW60" s="400">
        <f>SUMIFS('Отчет РПЗ(ПЗ)_ПЗИП'!$AG:$AG,'Отчет РПЗ(ПЗ)_ПЗИП'!$D:$D,Справочно!$E25,'Отчет РПЗ(ПЗ)_ПЗИП'!$AO:$AO,8)</f>
        <v>0</v>
      </c>
      <c r="AX60" s="445" t="str">
        <f t="shared" si="117"/>
        <v>НД</v>
      </c>
      <c r="AY60" s="303" t="str">
        <f t="shared" si="92"/>
        <v>НД</v>
      </c>
      <c r="AZ60" s="504">
        <f>SUMIFS('Отчет РПЗ(ПЗ)_ПЗИП'!$W:$W,'Отчет РПЗ(ПЗ)_ПЗИП'!$D:$D,Справочно!$E25,'Отчет РПЗ(ПЗ)_ПЗИП'!$N:$N,"&gt;=01.09.2016",'Отчет РПЗ(ПЗ)_ПЗИП'!$N:$N,"&lt;=30.09.2016",'Отчет РПЗ(ПЗ)_ПЗИП'!$AG:$AG,"&gt;0")</f>
        <v>0</v>
      </c>
      <c r="BA60" s="400">
        <f>SUMIFS('Отчет РПЗ(ПЗ)_ПЗИП'!$AG:$AG,'Отчет РПЗ(ПЗ)_ПЗИП'!$D:$D,Справочно!$E25,'Отчет РПЗ(ПЗ)_ПЗИП'!$AO:$AO,9)</f>
        <v>0</v>
      </c>
      <c r="BB60" s="445" t="str">
        <f t="shared" si="118"/>
        <v>НД</v>
      </c>
      <c r="BC60" s="303" t="str">
        <f t="shared" si="93"/>
        <v>НД</v>
      </c>
      <c r="BD60" s="503">
        <f t="shared" si="119"/>
        <v>0</v>
      </c>
      <c r="BE60" s="402">
        <f t="shared" si="120"/>
        <v>0</v>
      </c>
      <c r="BF60" s="402" t="str">
        <f t="shared" si="121"/>
        <v>НД</v>
      </c>
      <c r="BG60" s="305" t="str">
        <f t="shared" si="94"/>
        <v>НД</v>
      </c>
      <c r="BH60" s="493">
        <f>SUMIFS('Отчет РПЗ(ПЗ)_ПЗИП'!$W:$W,'Отчет РПЗ(ПЗ)_ПЗИП'!$D:$D,Справочно!$E25,'Отчет РПЗ(ПЗ)_ПЗИП'!$N:$N,"&gt;=01.10.2016",'Отчет РПЗ(ПЗ)_ПЗИП'!$N:$N,"&lt;=31.10.2016",'Отчет РПЗ(ПЗ)_ПЗИП'!$AG:$AG,"&gt;0")</f>
        <v>0</v>
      </c>
      <c r="BI60" s="403">
        <f>SUMIFS('Отчет РПЗ(ПЗ)_ПЗИП'!$AG:$AG,'Отчет РПЗ(ПЗ)_ПЗИП'!$D:$D,Справочно!$E25,'Отчет РПЗ(ПЗ)_ПЗИП'!$AO:$AO,10)</f>
        <v>0</v>
      </c>
      <c r="BJ60" s="447" t="str">
        <f t="shared" si="122"/>
        <v>НД</v>
      </c>
      <c r="BK60" s="307" t="str">
        <f t="shared" si="95"/>
        <v>НД</v>
      </c>
      <c r="BL60" s="508">
        <f>SUMIFS('Отчет РПЗ(ПЗ)_ПЗИП'!$W:$W,'Отчет РПЗ(ПЗ)_ПЗИП'!$D:$D,Справочно!$E25,'Отчет РПЗ(ПЗ)_ПЗИП'!$N:$N,"&gt;=01.11.2016",'Отчет РПЗ(ПЗ)_ПЗИП'!$N:$N,"&lt;=30.11.2016",'Отчет РПЗ(ПЗ)_ПЗИП'!$AG:$AG,"&gt;0")</f>
        <v>0</v>
      </c>
      <c r="BM60" s="403">
        <f>SUMIFS('Отчет РПЗ(ПЗ)_ПЗИП'!$AG:$AG,'Отчет РПЗ(ПЗ)_ПЗИП'!$D:$D,Справочно!$E25,'Отчет РПЗ(ПЗ)_ПЗИП'!$AO:$AO,11)</f>
        <v>0</v>
      </c>
      <c r="BN60" s="447" t="str">
        <f t="shared" si="123"/>
        <v>НД</v>
      </c>
      <c r="BO60" s="307" t="str">
        <f t="shared" si="96"/>
        <v>НД</v>
      </c>
      <c r="BP60" s="508">
        <f>SUMIFS('Отчет РПЗ(ПЗ)_ПЗИП'!$W:$W,'Отчет РПЗ(ПЗ)_ПЗИП'!$D:$D,Справочно!$E25,'Отчет РПЗ(ПЗ)_ПЗИП'!$N:$N,"&gt;=01.12.2016",'Отчет РПЗ(ПЗ)_ПЗИП'!$N:$N,"&lt;=31.12.2016",'Отчет РПЗ(ПЗ)_ПЗИП'!$AG:$AG,"&gt;0")</f>
        <v>0</v>
      </c>
      <c r="BQ60" s="403">
        <f>SUMIFS('Отчет РПЗ(ПЗ)_ПЗИП'!$AG:$AG,'Отчет РПЗ(ПЗ)_ПЗИП'!$D:$D,Справочно!$E25,'Отчет РПЗ(ПЗ)_ПЗИП'!$AO:$AO,12)</f>
        <v>0</v>
      </c>
      <c r="BR60" s="447" t="str">
        <f t="shared" si="124"/>
        <v>НД</v>
      </c>
      <c r="BS60" s="309" t="str">
        <f t="shared" si="97"/>
        <v>НД</v>
      </c>
      <c r="BT60" s="503">
        <f t="shared" si="125"/>
        <v>0</v>
      </c>
      <c r="BU60" s="405">
        <f t="shared" si="126"/>
        <v>0</v>
      </c>
      <c r="BV60" s="405" t="str">
        <f t="shared" si="127"/>
        <v>НД</v>
      </c>
      <c r="BW60" s="310" t="str">
        <f t="shared" si="98"/>
        <v>НД</v>
      </c>
    </row>
    <row r="61" spans="2:75" ht="15" customHeight="1" thickBot="1" x14ac:dyDescent="0.25">
      <c r="B61" s="58" t="str">
        <f>Справочно!E26</f>
        <v>АО "Концерн "Автоматика"</v>
      </c>
      <c r="C61" s="96" t="e">
        <f>ПП!B49</f>
        <v>#REF!</v>
      </c>
      <c r="D61" s="491" t="e">
        <f>ПП!C49</f>
        <v>#REF!</v>
      </c>
      <c r="E61" s="516" t="e">
        <f>ПП!D49</f>
        <v>#REF!</v>
      </c>
      <c r="F61" s="356">
        <f>COUNTIFS('Отчет РПЗ(ПЗ)_ПЗИП'!$AG:$AG,"&gt;0",'Отчет РПЗ(ПЗ)_ПЗИП'!$D:$D,Справочно!$E26)</f>
        <v>0</v>
      </c>
      <c r="G61" s="517" t="e">
        <f t="shared" si="99"/>
        <v>#DIV/0!</v>
      </c>
      <c r="H61" s="518">
        <f>SUMIF('Отчет РПЗ(ПЗ)_ПЗИП'!$D:$D,Справочно!$E26,'Отчет РПЗ(ПЗ)_ПЗИП'!$AG:$AG)</f>
        <v>0</v>
      </c>
      <c r="I61" s="519">
        <f t="shared" si="100"/>
        <v>0</v>
      </c>
      <c r="J61" s="296" t="e">
        <f t="shared" si="101"/>
        <v>#DIV/0!</v>
      </c>
      <c r="L61" s="509">
        <f>SUMIFS('Отчет РПЗ(ПЗ)_ПЗИП'!$W:$W,'Отчет РПЗ(ПЗ)_ПЗИП'!$D:$D,Справочно!$E26,'Отчет РПЗ(ПЗ)_ПЗИП'!$N:$N,"&gt;=01.01.2016",'Отчет РПЗ(ПЗ)_ПЗИП'!$N:$N,"&lt;=31.01.2016",'Отчет РПЗ(ПЗ)_ПЗИП'!$AG:$AG,"&gt;0")</f>
        <v>0</v>
      </c>
      <c r="M61" s="394">
        <f>SUMIFS('Отчет РПЗ(ПЗ)_ПЗИП'!$AG:$AG,'Отчет РПЗ(ПЗ)_ПЗИП'!$D:$D,Справочно!$E26,'Отчет РПЗ(ПЗ)_ПЗИП'!$AO:$AO,1)</f>
        <v>0</v>
      </c>
      <c r="N61" s="406" t="str">
        <f t="shared" si="102"/>
        <v>НД</v>
      </c>
      <c r="O61" s="297" t="str">
        <f t="shared" si="103"/>
        <v>НД</v>
      </c>
      <c r="P61" s="504">
        <f>SUMIFS('Отчет РПЗ(ПЗ)_ПЗИП'!$W:$W,'Отчет РПЗ(ПЗ)_ПЗИП'!$D:$D,Справочно!$E26,'Отчет РПЗ(ПЗ)_ПЗИП'!$N:$N,"&gt;=01.02.2016",'Отчет РПЗ(ПЗ)_ПЗИП'!$N:$N,"&lt;=29.02.2016",'Отчет РПЗ(ПЗ)_ПЗИП'!$AG:$AG,"&gt;0")</f>
        <v>0</v>
      </c>
      <c r="Q61" s="394">
        <f>SUMIFS('Отчет РПЗ(ПЗ)_ПЗИП'!$AG:$AG,'Отчет РПЗ(ПЗ)_ПЗИП'!$D:$D,Справочно!$E26,'Отчет РПЗ(ПЗ)_ПЗИП'!$AO:$AO,2)</f>
        <v>0</v>
      </c>
      <c r="R61" s="406" t="str">
        <f t="shared" si="104"/>
        <v>НД</v>
      </c>
      <c r="S61" s="297" t="str">
        <f t="shared" si="105"/>
        <v>НД</v>
      </c>
      <c r="T61" s="504">
        <f>SUMIFS('Отчет РПЗ(ПЗ)_ПЗИП'!$W:$W,'Отчет РПЗ(ПЗ)_ПЗИП'!$D:$D,Справочно!$E26,'Отчет РПЗ(ПЗ)_ПЗИП'!$N:$N,"&gt;=01.03.2016",'Отчет РПЗ(ПЗ)_ПЗИП'!$N:$N,"&lt;=31.03.2016",'Отчет РПЗ(ПЗ)_ПЗИП'!$AG:$AG,"&gt;0")</f>
        <v>0</v>
      </c>
      <c r="U61" s="394">
        <f>SUMIFS('Отчет РПЗ(ПЗ)_ПЗИП'!$AG:$AG,'Отчет РПЗ(ПЗ)_ПЗИП'!$D:$D,Справочно!$E26,'Отчет РПЗ(ПЗ)_ПЗИП'!$AO:$AO,3)</f>
        <v>0</v>
      </c>
      <c r="V61" s="406" t="str">
        <f t="shared" si="106"/>
        <v>НД</v>
      </c>
      <c r="W61" s="297" t="str">
        <f t="shared" si="85"/>
        <v>НД</v>
      </c>
      <c r="X61" s="503">
        <f t="shared" si="107"/>
        <v>0</v>
      </c>
      <c r="Y61" s="396">
        <f t="shared" si="108"/>
        <v>0</v>
      </c>
      <c r="Z61" s="396" t="str">
        <f t="shared" si="109"/>
        <v>НД</v>
      </c>
      <c r="AA61" s="299" t="str">
        <f t="shared" si="86"/>
        <v>НД</v>
      </c>
      <c r="AB61" s="509">
        <f>SUMIFS('Отчет РПЗ(ПЗ)_ПЗИП'!$W:$W,'Отчет РПЗ(ПЗ)_ПЗИП'!$D:$D,Справочно!$E26,'Отчет РПЗ(ПЗ)_ПЗИП'!$N:$N,"&gt;=01.04.2016",'Отчет РПЗ(ПЗ)_ПЗИП'!$N:$N,"&lt;=30.04.2016",'Отчет РПЗ(ПЗ)_ПЗИП'!$AG:$AG,"&gt;0")</f>
        <v>0</v>
      </c>
      <c r="AC61" s="397">
        <f>SUMIFS('Отчет РПЗ(ПЗ)_ПЗИП'!$AG:$AG,'Отчет РПЗ(ПЗ)_ПЗИП'!$D:$D,Справочно!$E26,'Отчет РПЗ(ПЗ)_ПЗИП'!$AO:$AO,4)</f>
        <v>0</v>
      </c>
      <c r="AD61" s="397" t="str">
        <f t="shared" si="110"/>
        <v>НД</v>
      </c>
      <c r="AE61" s="298" t="str">
        <f t="shared" si="87"/>
        <v>НД</v>
      </c>
      <c r="AF61" s="508">
        <f>SUMIFS('Отчет РПЗ(ПЗ)_ПЗИП'!$W:$W,'Отчет РПЗ(ПЗ)_ПЗИП'!$D:$D,Справочно!$E26,'Отчет РПЗ(ПЗ)_ПЗИП'!$N:$N,"&gt;=01.05.2016",'Отчет РПЗ(ПЗ)_ПЗИП'!$N:$N,"&lt;=31.05.2016",'Отчет РПЗ(ПЗ)_ПЗИП'!$AG:$AG,"&gt;0")</f>
        <v>0</v>
      </c>
      <c r="AG61" s="397">
        <f>SUMIFS('Отчет РПЗ(ПЗ)_ПЗИП'!$AG:$AG,'Отчет РПЗ(ПЗ)_ПЗИП'!$D:$D,Справочно!$E26,'Отчет РПЗ(ПЗ)_ПЗИП'!$AO:$AO,5)</f>
        <v>0</v>
      </c>
      <c r="AH61" s="397" t="str">
        <f t="shared" si="111"/>
        <v>НД</v>
      </c>
      <c r="AI61" s="298" t="str">
        <f t="shared" si="88"/>
        <v>НД</v>
      </c>
      <c r="AJ61" s="508">
        <f>SUMIFS('Отчет РПЗ(ПЗ)_ПЗИП'!$W:$W,'Отчет РПЗ(ПЗ)_ПЗИП'!$D:$D,Справочно!$E26,'Отчет РПЗ(ПЗ)_ПЗИП'!$N:$N,"&gt;=01.06.2016",'Отчет РПЗ(ПЗ)_ПЗИП'!$N:$N,"&lt;=30.06.2016",'Отчет РПЗ(ПЗ)_ПЗИП'!$AG:$AG,"&gt;0")</f>
        <v>0</v>
      </c>
      <c r="AK61" s="397">
        <f>SUMIFS('Отчет РПЗ(ПЗ)_ПЗИП'!$AG:$AG,'Отчет РПЗ(ПЗ)_ПЗИП'!$D:$D,Справочно!$E26,'Отчет РПЗ(ПЗ)_ПЗИП'!$AO:$AO,6)</f>
        <v>0</v>
      </c>
      <c r="AL61" s="397" t="str">
        <f t="shared" si="112"/>
        <v>НД</v>
      </c>
      <c r="AM61" s="298" t="str">
        <f t="shared" si="89"/>
        <v>НД</v>
      </c>
      <c r="AN61" s="503">
        <f t="shared" si="113"/>
        <v>0</v>
      </c>
      <c r="AO61" s="399">
        <f t="shared" si="114"/>
        <v>0</v>
      </c>
      <c r="AP61" s="399" t="str">
        <f t="shared" si="115"/>
        <v>НД</v>
      </c>
      <c r="AQ61" s="301" t="str">
        <f t="shared" si="90"/>
        <v>НД</v>
      </c>
      <c r="AR61" s="509">
        <f>SUMIFS('Отчет РПЗ(ПЗ)_ПЗИП'!$W:$W,'Отчет РПЗ(ПЗ)_ПЗИП'!$D:$D,Справочно!$E26,'Отчет РПЗ(ПЗ)_ПЗИП'!$N:$N,"&gt;=01.07.2016",'Отчет РПЗ(ПЗ)_ПЗИП'!$N:$N,"&lt;=31.07.2016",'Отчет РПЗ(ПЗ)_ПЗИП'!$AG:$AG,"&gt;0")</f>
        <v>0</v>
      </c>
      <c r="AS61" s="400">
        <f>SUMIFS('Отчет РПЗ(ПЗ)_ПЗИП'!$AG:$AG,'Отчет РПЗ(ПЗ)_ПЗИП'!$D:$D,Справочно!$E26,'Отчет РПЗ(ПЗ)_ПЗИП'!$AO:$AO,7)</f>
        <v>0</v>
      </c>
      <c r="AT61" s="445" t="str">
        <f t="shared" si="116"/>
        <v>НД</v>
      </c>
      <c r="AU61" s="303" t="str">
        <f t="shared" si="91"/>
        <v>НД</v>
      </c>
      <c r="AV61" s="504">
        <f>SUMIFS('Отчет РПЗ(ПЗ)_ПЗИП'!$W:$W,'Отчет РПЗ(ПЗ)_ПЗИП'!$D:$D,Справочно!$E26,'Отчет РПЗ(ПЗ)_ПЗИП'!$N:$N,"&gt;=01.08.2016",'Отчет РПЗ(ПЗ)_ПЗИП'!$N:$N,"&lt;=31.08.2016",'Отчет РПЗ(ПЗ)_ПЗИП'!$AG:$AG,"&gt;0")</f>
        <v>0</v>
      </c>
      <c r="AW61" s="400">
        <f>SUMIFS('Отчет РПЗ(ПЗ)_ПЗИП'!$AG:$AG,'Отчет РПЗ(ПЗ)_ПЗИП'!$D:$D,Справочно!$E26,'Отчет РПЗ(ПЗ)_ПЗИП'!$AO:$AO,8)</f>
        <v>0</v>
      </c>
      <c r="AX61" s="445" t="str">
        <f t="shared" si="117"/>
        <v>НД</v>
      </c>
      <c r="AY61" s="303" t="str">
        <f t="shared" si="92"/>
        <v>НД</v>
      </c>
      <c r="AZ61" s="504">
        <f>SUMIFS('Отчет РПЗ(ПЗ)_ПЗИП'!$W:$W,'Отчет РПЗ(ПЗ)_ПЗИП'!$D:$D,Справочно!$E26,'Отчет РПЗ(ПЗ)_ПЗИП'!$N:$N,"&gt;=01.09.2016",'Отчет РПЗ(ПЗ)_ПЗИП'!$N:$N,"&lt;=30.09.2016",'Отчет РПЗ(ПЗ)_ПЗИП'!$AG:$AG,"&gt;0")</f>
        <v>0</v>
      </c>
      <c r="BA61" s="400">
        <f>SUMIFS('Отчет РПЗ(ПЗ)_ПЗИП'!$AG:$AG,'Отчет РПЗ(ПЗ)_ПЗИП'!$D:$D,Справочно!$E26,'Отчет РПЗ(ПЗ)_ПЗИП'!$AO:$AO,9)</f>
        <v>0</v>
      </c>
      <c r="BB61" s="445" t="str">
        <f t="shared" si="118"/>
        <v>НД</v>
      </c>
      <c r="BC61" s="303" t="str">
        <f t="shared" si="93"/>
        <v>НД</v>
      </c>
      <c r="BD61" s="503">
        <f t="shared" si="119"/>
        <v>0</v>
      </c>
      <c r="BE61" s="402">
        <f t="shared" si="120"/>
        <v>0</v>
      </c>
      <c r="BF61" s="402" t="str">
        <f t="shared" si="121"/>
        <v>НД</v>
      </c>
      <c r="BG61" s="305" t="str">
        <f t="shared" si="94"/>
        <v>НД</v>
      </c>
      <c r="BH61" s="493">
        <f>SUMIFS('Отчет РПЗ(ПЗ)_ПЗИП'!$W:$W,'Отчет РПЗ(ПЗ)_ПЗИП'!$D:$D,Справочно!$E26,'Отчет РПЗ(ПЗ)_ПЗИП'!$N:$N,"&gt;=01.10.2016",'Отчет РПЗ(ПЗ)_ПЗИП'!$N:$N,"&lt;=31.10.2016",'Отчет РПЗ(ПЗ)_ПЗИП'!$AG:$AG,"&gt;0")</f>
        <v>0</v>
      </c>
      <c r="BI61" s="403">
        <f>SUMIFS('Отчет РПЗ(ПЗ)_ПЗИП'!$AG:$AG,'Отчет РПЗ(ПЗ)_ПЗИП'!$D:$D,Справочно!$E26,'Отчет РПЗ(ПЗ)_ПЗИП'!$AO:$AO,10)</f>
        <v>0</v>
      </c>
      <c r="BJ61" s="447" t="str">
        <f t="shared" si="122"/>
        <v>НД</v>
      </c>
      <c r="BK61" s="307" t="str">
        <f t="shared" si="95"/>
        <v>НД</v>
      </c>
      <c r="BL61" s="508">
        <f>SUMIFS('Отчет РПЗ(ПЗ)_ПЗИП'!$W:$W,'Отчет РПЗ(ПЗ)_ПЗИП'!$D:$D,Справочно!$E26,'Отчет РПЗ(ПЗ)_ПЗИП'!$N:$N,"&gt;=01.11.2016",'Отчет РПЗ(ПЗ)_ПЗИП'!$N:$N,"&lt;=30.11.2016",'Отчет РПЗ(ПЗ)_ПЗИП'!$AG:$AG,"&gt;0")</f>
        <v>0</v>
      </c>
      <c r="BM61" s="403">
        <f>SUMIFS('Отчет РПЗ(ПЗ)_ПЗИП'!$AG:$AG,'Отчет РПЗ(ПЗ)_ПЗИП'!$D:$D,Справочно!$E26,'Отчет РПЗ(ПЗ)_ПЗИП'!$AO:$AO,11)</f>
        <v>0</v>
      </c>
      <c r="BN61" s="447" t="str">
        <f t="shared" si="123"/>
        <v>НД</v>
      </c>
      <c r="BO61" s="307" t="str">
        <f t="shared" si="96"/>
        <v>НД</v>
      </c>
      <c r="BP61" s="508">
        <f>SUMIFS('Отчет РПЗ(ПЗ)_ПЗИП'!$W:$W,'Отчет РПЗ(ПЗ)_ПЗИП'!$D:$D,Справочно!$E26,'Отчет РПЗ(ПЗ)_ПЗИП'!$N:$N,"&gt;=01.12.2016",'Отчет РПЗ(ПЗ)_ПЗИП'!$N:$N,"&lt;=31.12.2016",'Отчет РПЗ(ПЗ)_ПЗИП'!$AG:$AG,"&gt;0")</f>
        <v>0</v>
      </c>
      <c r="BQ61" s="403">
        <f>SUMIFS('Отчет РПЗ(ПЗ)_ПЗИП'!$AG:$AG,'Отчет РПЗ(ПЗ)_ПЗИП'!$D:$D,Справочно!$E26,'Отчет РПЗ(ПЗ)_ПЗИП'!$AO:$AO,12)</f>
        <v>0</v>
      </c>
      <c r="BR61" s="447" t="str">
        <f t="shared" si="124"/>
        <v>НД</v>
      </c>
      <c r="BS61" s="309" t="str">
        <f t="shared" si="97"/>
        <v>НД</v>
      </c>
      <c r="BT61" s="503">
        <f t="shared" si="125"/>
        <v>0</v>
      </c>
      <c r="BU61" s="405">
        <f t="shared" si="126"/>
        <v>0</v>
      </c>
      <c r="BV61" s="405" t="str">
        <f t="shared" si="127"/>
        <v>НД</v>
      </c>
      <c r="BW61" s="310" t="str">
        <f t="shared" si="98"/>
        <v>НД</v>
      </c>
    </row>
    <row r="62" spans="2:75" ht="15" customHeight="1" thickBot="1" x14ac:dyDescent="0.25">
      <c r="B62" s="58" t="str">
        <f>Справочно!E27</f>
        <v>АО "Станкопром"</v>
      </c>
      <c r="C62" s="96" t="e">
        <f>ПП!B50</f>
        <v>#REF!</v>
      </c>
      <c r="D62" s="491" t="e">
        <f>ПП!C50</f>
        <v>#REF!</v>
      </c>
      <c r="E62" s="516" t="e">
        <f>ПП!D50</f>
        <v>#REF!</v>
      </c>
      <c r="F62" s="356">
        <f>COUNTIFS('Отчет РПЗ(ПЗ)_ПЗИП'!$AG:$AG,"&gt;0",'Отчет РПЗ(ПЗ)_ПЗИП'!$D:$D,Справочно!$E27)</f>
        <v>0</v>
      </c>
      <c r="G62" s="517" t="e">
        <f t="shared" si="99"/>
        <v>#DIV/0!</v>
      </c>
      <c r="H62" s="518">
        <f>SUMIF('Отчет РПЗ(ПЗ)_ПЗИП'!$D:$D,Справочно!$E27,'Отчет РПЗ(ПЗ)_ПЗИП'!$AG:$AG)</f>
        <v>0</v>
      </c>
      <c r="I62" s="519">
        <f t="shared" si="100"/>
        <v>0</v>
      </c>
      <c r="J62" s="296" t="e">
        <f t="shared" si="101"/>
        <v>#DIV/0!</v>
      </c>
      <c r="L62" s="509">
        <f>SUMIFS('Отчет РПЗ(ПЗ)_ПЗИП'!$W:$W,'Отчет РПЗ(ПЗ)_ПЗИП'!$D:$D,Справочно!$E27,'Отчет РПЗ(ПЗ)_ПЗИП'!$N:$N,"&gt;=01.01.2016",'Отчет РПЗ(ПЗ)_ПЗИП'!$N:$N,"&lt;=31.01.2016",'Отчет РПЗ(ПЗ)_ПЗИП'!$AG:$AG,"&gt;0")</f>
        <v>0</v>
      </c>
      <c r="M62" s="394">
        <f>SUMIFS('Отчет РПЗ(ПЗ)_ПЗИП'!$AG:$AG,'Отчет РПЗ(ПЗ)_ПЗИП'!$D:$D,Справочно!$E27,'Отчет РПЗ(ПЗ)_ПЗИП'!$AO:$AO,1)</f>
        <v>0</v>
      </c>
      <c r="N62" s="406" t="str">
        <f t="shared" si="102"/>
        <v>НД</v>
      </c>
      <c r="O62" s="297" t="str">
        <f t="shared" si="103"/>
        <v>НД</v>
      </c>
      <c r="P62" s="504">
        <f>SUMIFS('Отчет РПЗ(ПЗ)_ПЗИП'!$W:$W,'Отчет РПЗ(ПЗ)_ПЗИП'!$D:$D,Справочно!$E27,'Отчет РПЗ(ПЗ)_ПЗИП'!$N:$N,"&gt;=01.02.2016",'Отчет РПЗ(ПЗ)_ПЗИП'!$N:$N,"&lt;=29.02.2016",'Отчет РПЗ(ПЗ)_ПЗИП'!$AG:$AG,"&gt;0")</f>
        <v>0</v>
      </c>
      <c r="Q62" s="394">
        <f>SUMIFS('Отчет РПЗ(ПЗ)_ПЗИП'!$AG:$AG,'Отчет РПЗ(ПЗ)_ПЗИП'!$D:$D,Справочно!$E27,'Отчет РПЗ(ПЗ)_ПЗИП'!$AO:$AO,2)</f>
        <v>0</v>
      </c>
      <c r="R62" s="406" t="str">
        <f t="shared" si="104"/>
        <v>НД</v>
      </c>
      <c r="S62" s="297" t="str">
        <f t="shared" si="105"/>
        <v>НД</v>
      </c>
      <c r="T62" s="504">
        <f>SUMIFS('Отчет РПЗ(ПЗ)_ПЗИП'!$W:$W,'Отчет РПЗ(ПЗ)_ПЗИП'!$D:$D,Справочно!$E27,'Отчет РПЗ(ПЗ)_ПЗИП'!$N:$N,"&gt;=01.03.2016",'Отчет РПЗ(ПЗ)_ПЗИП'!$N:$N,"&lt;=31.03.2016",'Отчет РПЗ(ПЗ)_ПЗИП'!$AG:$AG,"&gt;0")</f>
        <v>0</v>
      </c>
      <c r="U62" s="394">
        <f>SUMIFS('Отчет РПЗ(ПЗ)_ПЗИП'!$AG:$AG,'Отчет РПЗ(ПЗ)_ПЗИП'!$D:$D,Справочно!$E27,'Отчет РПЗ(ПЗ)_ПЗИП'!$AO:$AO,3)</f>
        <v>0</v>
      </c>
      <c r="V62" s="406" t="str">
        <f t="shared" si="106"/>
        <v>НД</v>
      </c>
      <c r="W62" s="297" t="str">
        <f t="shared" si="85"/>
        <v>НД</v>
      </c>
      <c r="X62" s="503">
        <f t="shared" si="107"/>
        <v>0</v>
      </c>
      <c r="Y62" s="396">
        <f t="shared" si="108"/>
        <v>0</v>
      </c>
      <c r="Z62" s="396" t="str">
        <f t="shared" si="109"/>
        <v>НД</v>
      </c>
      <c r="AA62" s="299" t="str">
        <f t="shared" si="86"/>
        <v>НД</v>
      </c>
      <c r="AB62" s="509">
        <f>SUMIFS('Отчет РПЗ(ПЗ)_ПЗИП'!$W:$W,'Отчет РПЗ(ПЗ)_ПЗИП'!$D:$D,Справочно!$E27,'Отчет РПЗ(ПЗ)_ПЗИП'!$N:$N,"&gt;=01.04.2016",'Отчет РПЗ(ПЗ)_ПЗИП'!$N:$N,"&lt;=30.04.2016",'Отчет РПЗ(ПЗ)_ПЗИП'!$AG:$AG,"&gt;0")</f>
        <v>0</v>
      </c>
      <c r="AC62" s="397">
        <f>SUMIFS('Отчет РПЗ(ПЗ)_ПЗИП'!$AG:$AG,'Отчет РПЗ(ПЗ)_ПЗИП'!$D:$D,Справочно!$E27,'Отчет РПЗ(ПЗ)_ПЗИП'!$AO:$AO,4)</f>
        <v>0</v>
      </c>
      <c r="AD62" s="397" t="str">
        <f t="shared" si="110"/>
        <v>НД</v>
      </c>
      <c r="AE62" s="298" t="str">
        <f t="shared" si="87"/>
        <v>НД</v>
      </c>
      <c r="AF62" s="508">
        <f>SUMIFS('Отчет РПЗ(ПЗ)_ПЗИП'!$W:$W,'Отчет РПЗ(ПЗ)_ПЗИП'!$D:$D,Справочно!$E27,'Отчет РПЗ(ПЗ)_ПЗИП'!$N:$N,"&gt;=01.05.2016",'Отчет РПЗ(ПЗ)_ПЗИП'!$N:$N,"&lt;=31.05.2016",'Отчет РПЗ(ПЗ)_ПЗИП'!$AG:$AG,"&gt;0")</f>
        <v>0</v>
      </c>
      <c r="AG62" s="397">
        <f>SUMIFS('Отчет РПЗ(ПЗ)_ПЗИП'!$AG:$AG,'Отчет РПЗ(ПЗ)_ПЗИП'!$D:$D,Справочно!$E27,'Отчет РПЗ(ПЗ)_ПЗИП'!$AO:$AO,5)</f>
        <v>0</v>
      </c>
      <c r="AH62" s="397" t="str">
        <f t="shared" si="111"/>
        <v>НД</v>
      </c>
      <c r="AI62" s="298" t="str">
        <f t="shared" si="88"/>
        <v>НД</v>
      </c>
      <c r="AJ62" s="508">
        <f>SUMIFS('Отчет РПЗ(ПЗ)_ПЗИП'!$W:$W,'Отчет РПЗ(ПЗ)_ПЗИП'!$D:$D,Справочно!$E27,'Отчет РПЗ(ПЗ)_ПЗИП'!$N:$N,"&gt;=01.06.2016",'Отчет РПЗ(ПЗ)_ПЗИП'!$N:$N,"&lt;=30.06.2016",'Отчет РПЗ(ПЗ)_ПЗИП'!$AG:$AG,"&gt;0")</f>
        <v>0</v>
      </c>
      <c r="AK62" s="397">
        <f>SUMIFS('Отчет РПЗ(ПЗ)_ПЗИП'!$AG:$AG,'Отчет РПЗ(ПЗ)_ПЗИП'!$D:$D,Справочно!$E27,'Отчет РПЗ(ПЗ)_ПЗИП'!$AO:$AO,6)</f>
        <v>0</v>
      </c>
      <c r="AL62" s="397" t="str">
        <f t="shared" si="112"/>
        <v>НД</v>
      </c>
      <c r="AM62" s="298" t="str">
        <f t="shared" si="89"/>
        <v>НД</v>
      </c>
      <c r="AN62" s="503">
        <f t="shared" si="113"/>
        <v>0</v>
      </c>
      <c r="AO62" s="399">
        <f t="shared" si="114"/>
        <v>0</v>
      </c>
      <c r="AP62" s="399" t="str">
        <f t="shared" si="115"/>
        <v>НД</v>
      </c>
      <c r="AQ62" s="301" t="str">
        <f t="shared" si="90"/>
        <v>НД</v>
      </c>
      <c r="AR62" s="509">
        <f>SUMIFS('Отчет РПЗ(ПЗ)_ПЗИП'!$W:$W,'Отчет РПЗ(ПЗ)_ПЗИП'!$D:$D,Справочно!$E27,'Отчет РПЗ(ПЗ)_ПЗИП'!$N:$N,"&gt;=01.07.2016",'Отчет РПЗ(ПЗ)_ПЗИП'!$N:$N,"&lt;=31.07.2016",'Отчет РПЗ(ПЗ)_ПЗИП'!$AG:$AG,"&gt;0")</f>
        <v>0</v>
      </c>
      <c r="AS62" s="400">
        <f>SUMIFS('Отчет РПЗ(ПЗ)_ПЗИП'!$AG:$AG,'Отчет РПЗ(ПЗ)_ПЗИП'!$D:$D,Справочно!$E27,'Отчет РПЗ(ПЗ)_ПЗИП'!$AO:$AO,7)</f>
        <v>0</v>
      </c>
      <c r="AT62" s="445" t="str">
        <f t="shared" si="116"/>
        <v>НД</v>
      </c>
      <c r="AU62" s="303" t="str">
        <f t="shared" si="91"/>
        <v>НД</v>
      </c>
      <c r="AV62" s="504">
        <f>SUMIFS('Отчет РПЗ(ПЗ)_ПЗИП'!$W:$W,'Отчет РПЗ(ПЗ)_ПЗИП'!$D:$D,Справочно!$E27,'Отчет РПЗ(ПЗ)_ПЗИП'!$N:$N,"&gt;=01.08.2016",'Отчет РПЗ(ПЗ)_ПЗИП'!$N:$N,"&lt;=31.08.2016",'Отчет РПЗ(ПЗ)_ПЗИП'!$AG:$AG,"&gt;0")</f>
        <v>0</v>
      </c>
      <c r="AW62" s="400">
        <f>SUMIFS('Отчет РПЗ(ПЗ)_ПЗИП'!$AG:$AG,'Отчет РПЗ(ПЗ)_ПЗИП'!$D:$D,Справочно!$E27,'Отчет РПЗ(ПЗ)_ПЗИП'!$AO:$AO,8)</f>
        <v>0</v>
      </c>
      <c r="AX62" s="445" t="str">
        <f t="shared" si="117"/>
        <v>НД</v>
      </c>
      <c r="AY62" s="303" t="str">
        <f t="shared" si="92"/>
        <v>НД</v>
      </c>
      <c r="AZ62" s="504">
        <f>SUMIFS('Отчет РПЗ(ПЗ)_ПЗИП'!$W:$W,'Отчет РПЗ(ПЗ)_ПЗИП'!$D:$D,Справочно!$E27,'Отчет РПЗ(ПЗ)_ПЗИП'!$N:$N,"&gt;=01.09.2016",'Отчет РПЗ(ПЗ)_ПЗИП'!$N:$N,"&lt;=30.09.2016",'Отчет РПЗ(ПЗ)_ПЗИП'!$AG:$AG,"&gt;0")</f>
        <v>0</v>
      </c>
      <c r="BA62" s="400">
        <f>SUMIFS('Отчет РПЗ(ПЗ)_ПЗИП'!$AG:$AG,'Отчет РПЗ(ПЗ)_ПЗИП'!$D:$D,Справочно!$E27,'Отчет РПЗ(ПЗ)_ПЗИП'!$AO:$AO,9)</f>
        <v>0</v>
      </c>
      <c r="BB62" s="445" t="str">
        <f t="shared" si="118"/>
        <v>НД</v>
      </c>
      <c r="BC62" s="303" t="str">
        <f t="shared" si="93"/>
        <v>НД</v>
      </c>
      <c r="BD62" s="503">
        <f t="shared" si="119"/>
        <v>0</v>
      </c>
      <c r="BE62" s="402">
        <f t="shared" si="120"/>
        <v>0</v>
      </c>
      <c r="BF62" s="402" t="str">
        <f t="shared" si="121"/>
        <v>НД</v>
      </c>
      <c r="BG62" s="305" t="str">
        <f t="shared" si="94"/>
        <v>НД</v>
      </c>
      <c r="BH62" s="493">
        <f>SUMIFS('Отчет РПЗ(ПЗ)_ПЗИП'!$W:$W,'Отчет РПЗ(ПЗ)_ПЗИП'!$D:$D,Справочно!$E27,'Отчет РПЗ(ПЗ)_ПЗИП'!$N:$N,"&gt;=01.10.2016",'Отчет РПЗ(ПЗ)_ПЗИП'!$N:$N,"&lt;=31.10.2016",'Отчет РПЗ(ПЗ)_ПЗИП'!$AG:$AG,"&gt;0")</f>
        <v>0</v>
      </c>
      <c r="BI62" s="403">
        <f>SUMIFS('Отчет РПЗ(ПЗ)_ПЗИП'!$AG:$AG,'Отчет РПЗ(ПЗ)_ПЗИП'!$D:$D,Справочно!$E27,'Отчет РПЗ(ПЗ)_ПЗИП'!$AO:$AO,10)</f>
        <v>0</v>
      </c>
      <c r="BJ62" s="447" t="str">
        <f t="shared" si="122"/>
        <v>НД</v>
      </c>
      <c r="BK62" s="307" t="str">
        <f t="shared" si="95"/>
        <v>НД</v>
      </c>
      <c r="BL62" s="508">
        <f>SUMIFS('Отчет РПЗ(ПЗ)_ПЗИП'!$W:$W,'Отчет РПЗ(ПЗ)_ПЗИП'!$D:$D,Справочно!$E27,'Отчет РПЗ(ПЗ)_ПЗИП'!$N:$N,"&gt;=01.11.2016",'Отчет РПЗ(ПЗ)_ПЗИП'!$N:$N,"&lt;=30.11.2016",'Отчет РПЗ(ПЗ)_ПЗИП'!$AG:$AG,"&gt;0")</f>
        <v>0</v>
      </c>
      <c r="BM62" s="403">
        <f>SUMIFS('Отчет РПЗ(ПЗ)_ПЗИП'!$AG:$AG,'Отчет РПЗ(ПЗ)_ПЗИП'!$D:$D,Справочно!$E27,'Отчет РПЗ(ПЗ)_ПЗИП'!$AO:$AO,11)</f>
        <v>0</v>
      </c>
      <c r="BN62" s="447" t="str">
        <f t="shared" si="123"/>
        <v>НД</v>
      </c>
      <c r="BO62" s="307" t="str">
        <f t="shared" si="96"/>
        <v>НД</v>
      </c>
      <c r="BP62" s="508">
        <f>SUMIFS('Отчет РПЗ(ПЗ)_ПЗИП'!$W:$W,'Отчет РПЗ(ПЗ)_ПЗИП'!$D:$D,Справочно!$E27,'Отчет РПЗ(ПЗ)_ПЗИП'!$N:$N,"&gt;=01.12.2016",'Отчет РПЗ(ПЗ)_ПЗИП'!$N:$N,"&lt;=31.12.2016",'Отчет РПЗ(ПЗ)_ПЗИП'!$AG:$AG,"&gt;0")</f>
        <v>0</v>
      </c>
      <c r="BQ62" s="403">
        <f>SUMIFS('Отчет РПЗ(ПЗ)_ПЗИП'!$AG:$AG,'Отчет РПЗ(ПЗ)_ПЗИП'!$D:$D,Справочно!$E27,'Отчет РПЗ(ПЗ)_ПЗИП'!$AO:$AO,12)</f>
        <v>0</v>
      </c>
      <c r="BR62" s="447" t="str">
        <f t="shared" si="124"/>
        <v>НД</v>
      </c>
      <c r="BS62" s="309" t="str">
        <f t="shared" si="97"/>
        <v>НД</v>
      </c>
      <c r="BT62" s="503">
        <f t="shared" si="125"/>
        <v>0</v>
      </c>
      <c r="BU62" s="405">
        <f t="shared" si="126"/>
        <v>0</v>
      </c>
      <c r="BV62" s="405" t="str">
        <f t="shared" si="127"/>
        <v>НД</v>
      </c>
      <c r="BW62" s="310" t="str">
        <f t="shared" si="98"/>
        <v>НД</v>
      </c>
    </row>
    <row r="63" spans="2:75" ht="15" customHeight="1" thickBot="1" x14ac:dyDescent="0.25">
      <c r="B63" s="58" t="str">
        <f>Справочно!E28</f>
        <v>АО "СИБЕР"</v>
      </c>
      <c r="C63" s="96" t="e">
        <f>ПП!B51</f>
        <v>#REF!</v>
      </c>
      <c r="D63" s="491" t="e">
        <f>ПП!C51</f>
        <v>#REF!</v>
      </c>
      <c r="E63" s="516" t="e">
        <f>ПП!D51</f>
        <v>#REF!</v>
      </c>
      <c r="F63" s="356">
        <f>COUNTIFS('Отчет РПЗ(ПЗ)_ПЗИП'!$AG:$AG,"&gt;0",'Отчет РПЗ(ПЗ)_ПЗИП'!$D:$D,Справочно!$E28)</f>
        <v>0</v>
      </c>
      <c r="G63" s="517" t="e">
        <f t="shared" si="99"/>
        <v>#DIV/0!</v>
      </c>
      <c r="H63" s="518">
        <f>SUMIF('Отчет РПЗ(ПЗ)_ПЗИП'!$D:$D,Справочно!$E28,'Отчет РПЗ(ПЗ)_ПЗИП'!$AG:$AG)</f>
        <v>0</v>
      </c>
      <c r="I63" s="519">
        <f t="shared" si="100"/>
        <v>0</v>
      </c>
      <c r="J63" s="296" t="e">
        <f t="shared" si="101"/>
        <v>#DIV/0!</v>
      </c>
      <c r="L63" s="509">
        <f>SUMIFS('Отчет РПЗ(ПЗ)_ПЗИП'!$W:$W,'Отчет РПЗ(ПЗ)_ПЗИП'!$D:$D,Справочно!$E28,'Отчет РПЗ(ПЗ)_ПЗИП'!$N:$N,"&gt;=01.01.2016",'Отчет РПЗ(ПЗ)_ПЗИП'!$N:$N,"&lt;=31.01.2016",'Отчет РПЗ(ПЗ)_ПЗИП'!$AG:$AG,"&gt;0")</f>
        <v>0</v>
      </c>
      <c r="M63" s="394">
        <f>SUMIFS('Отчет РПЗ(ПЗ)_ПЗИП'!$AG:$AG,'Отчет РПЗ(ПЗ)_ПЗИП'!$D:$D,Справочно!$E28,'Отчет РПЗ(ПЗ)_ПЗИП'!$AO:$AO,1)</f>
        <v>0</v>
      </c>
      <c r="N63" s="406" t="str">
        <f t="shared" si="102"/>
        <v>НД</v>
      </c>
      <c r="O63" s="297" t="str">
        <f t="shared" si="103"/>
        <v>НД</v>
      </c>
      <c r="P63" s="504">
        <f>SUMIFS('Отчет РПЗ(ПЗ)_ПЗИП'!$W:$W,'Отчет РПЗ(ПЗ)_ПЗИП'!$D:$D,Справочно!$E28,'Отчет РПЗ(ПЗ)_ПЗИП'!$N:$N,"&gt;=01.02.2016",'Отчет РПЗ(ПЗ)_ПЗИП'!$N:$N,"&lt;=29.02.2016",'Отчет РПЗ(ПЗ)_ПЗИП'!$AG:$AG,"&gt;0")</f>
        <v>0</v>
      </c>
      <c r="Q63" s="394">
        <f>SUMIFS('Отчет РПЗ(ПЗ)_ПЗИП'!$AG:$AG,'Отчет РПЗ(ПЗ)_ПЗИП'!$D:$D,Справочно!$E28,'Отчет РПЗ(ПЗ)_ПЗИП'!$AO:$AO,2)</f>
        <v>0</v>
      </c>
      <c r="R63" s="406" t="str">
        <f t="shared" si="104"/>
        <v>НД</v>
      </c>
      <c r="S63" s="297" t="str">
        <f t="shared" si="105"/>
        <v>НД</v>
      </c>
      <c r="T63" s="504">
        <f>SUMIFS('Отчет РПЗ(ПЗ)_ПЗИП'!$W:$W,'Отчет РПЗ(ПЗ)_ПЗИП'!$D:$D,Справочно!$E28,'Отчет РПЗ(ПЗ)_ПЗИП'!$N:$N,"&gt;=01.03.2016",'Отчет РПЗ(ПЗ)_ПЗИП'!$N:$N,"&lt;=31.03.2016",'Отчет РПЗ(ПЗ)_ПЗИП'!$AG:$AG,"&gt;0")</f>
        <v>0</v>
      </c>
      <c r="U63" s="394">
        <f>SUMIFS('Отчет РПЗ(ПЗ)_ПЗИП'!$AG:$AG,'Отчет РПЗ(ПЗ)_ПЗИП'!$D:$D,Справочно!$E28,'Отчет РПЗ(ПЗ)_ПЗИП'!$AO:$AO,3)</f>
        <v>0</v>
      </c>
      <c r="V63" s="406" t="str">
        <f t="shared" si="106"/>
        <v>НД</v>
      </c>
      <c r="W63" s="297" t="str">
        <f t="shared" si="85"/>
        <v>НД</v>
      </c>
      <c r="X63" s="503">
        <f t="shared" si="107"/>
        <v>0</v>
      </c>
      <c r="Y63" s="396">
        <f t="shared" si="108"/>
        <v>0</v>
      </c>
      <c r="Z63" s="396" t="str">
        <f t="shared" si="109"/>
        <v>НД</v>
      </c>
      <c r="AA63" s="299" t="str">
        <f t="shared" si="86"/>
        <v>НД</v>
      </c>
      <c r="AB63" s="509">
        <f>SUMIFS('Отчет РПЗ(ПЗ)_ПЗИП'!$W:$W,'Отчет РПЗ(ПЗ)_ПЗИП'!$D:$D,Справочно!$E28,'Отчет РПЗ(ПЗ)_ПЗИП'!$N:$N,"&gt;=01.04.2016",'Отчет РПЗ(ПЗ)_ПЗИП'!$N:$N,"&lt;=30.04.2016",'Отчет РПЗ(ПЗ)_ПЗИП'!$AG:$AG,"&gt;0")</f>
        <v>0</v>
      </c>
      <c r="AC63" s="397">
        <f>SUMIFS('Отчет РПЗ(ПЗ)_ПЗИП'!$AG:$AG,'Отчет РПЗ(ПЗ)_ПЗИП'!$D:$D,Справочно!$E28,'Отчет РПЗ(ПЗ)_ПЗИП'!$AO:$AO,4)</f>
        <v>0</v>
      </c>
      <c r="AD63" s="397" t="str">
        <f t="shared" si="110"/>
        <v>НД</v>
      </c>
      <c r="AE63" s="298" t="str">
        <f t="shared" si="87"/>
        <v>НД</v>
      </c>
      <c r="AF63" s="508">
        <f>SUMIFS('Отчет РПЗ(ПЗ)_ПЗИП'!$W:$W,'Отчет РПЗ(ПЗ)_ПЗИП'!$D:$D,Справочно!$E28,'Отчет РПЗ(ПЗ)_ПЗИП'!$N:$N,"&gt;=01.05.2016",'Отчет РПЗ(ПЗ)_ПЗИП'!$N:$N,"&lt;=31.05.2016",'Отчет РПЗ(ПЗ)_ПЗИП'!$AG:$AG,"&gt;0")</f>
        <v>0</v>
      </c>
      <c r="AG63" s="397">
        <f>SUMIFS('Отчет РПЗ(ПЗ)_ПЗИП'!$AG:$AG,'Отчет РПЗ(ПЗ)_ПЗИП'!$D:$D,Справочно!$E28,'Отчет РПЗ(ПЗ)_ПЗИП'!$AO:$AO,5)</f>
        <v>0</v>
      </c>
      <c r="AH63" s="397" t="str">
        <f t="shared" si="111"/>
        <v>НД</v>
      </c>
      <c r="AI63" s="298" t="str">
        <f t="shared" si="88"/>
        <v>НД</v>
      </c>
      <c r="AJ63" s="508">
        <f>SUMIFS('Отчет РПЗ(ПЗ)_ПЗИП'!$W:$W,'Отчет РПЗ(ПЗ)_ПЗИП'!$D:$D,Справочно!$E28,'Отчет РПЗ(ПЗ)_ПЗИП'!$N:$N,"&gt;=01.06.2016",'Отчет РПЗ(ПЗ)_ПЗИП'!$N:$N,"&lt;=30.06.2016",'Отчет РПЗ(ПЗ)_ПЗИП'!$AG:$AG,"&gt;0")</f>
        <v>0</v>
      </c>
      <c r="AK63" s="397">
        <f>SUMIFS('Отчет РПЗ(ПЗ)_ПЗИП'!$AG:$AG,'Отчет РПЗ(ПЗ)_ПЗИП'!$D:$D,Справочно!$E28,'Отчет РПЗ(ПЗ)_ПЗИП'!$AO:$AO,6)</f>
        <v>0</v>
      </c>
      <c r="AL63" s="397" t="str">
        <f t="shared" si="112"/>
        <v>НД</v>
      </c>
      <c r="AM63" s="298" t="str">
        <f t="shared" si="89"/>
        <v>НД</v>
      </c>
      <c r="AN63" s="503">
        <f t="shared" si="113"/>
        <v>0</v>
      </c>
      <c r="AO63" s="399">
        <f t="shared" si="114"/>
        <v>0</v>
      </c>
      <c r="AP63" s="399" t="str">
        <f t="shared" si="115"/>
        <v>НД</v>
      </c>
      <c r="AQ63" s="301" t="str">
        <f t="shared" si="90"/>
        <v>НД</v>
      </c>
      <c r="AR63" s="509">
        <f>SUMIFS('Отчет РПЗ(ПЗ)_ПЗИП'!$W:$W,'Отчет РПЗ(ПЗ)_ПЗИП'!$D:$D,Справочно!$E28,'Отчет РПЗ(ПЗ)_ПЗИП'!$N:$N,"&gt;=01.07.2016",'Отчет РПЗ(ПЗ)_ПЗИП'!$N:$N,"&lt;=31.07.2016",'Отчет РПЗ(ПЗ)_ПЗИП'!$AG:$AG,"&gt;0")</f>
        <v>0</v>
      </c>
      <c r="AS63" s="400">
        <f>SUMIFS('Отчет РПЗ(ПЗ)_ПЗИП'!$AG:$AG,'Отчет РПЗ(ПЗ)_ПЗИП'!$D:$D,Справочно!$E28,'Отчет РПЗ(ПЗ)_ПЗИП'!$AO:$AO,7)</f>
        <v>0</v>
      </c>
      <c r="AT63" s="445" t="str">
        <f t="shared" si="116"/>
        <v>НД</v>
      </c>
      <c r="AU63" s="303" t="str">
        <f t="shared" si="91"/>
        <v>НД</v>
      </c>
      <c r="AV63" s="504">
        <f>SUMIFS('Отчет РПЗ(ПЗ)_ПЗИП'!$W:$W,'Отчет РПЗ(ПЗ)_ПЗИП'!$D:$D,Справочно!$E28,'Отчет РПЗ(ПЗ)_ПЗИП'!$N:$N,"&gt;=01.08.2016",'Отчет РПЗ(ПЗ)_ПЗИП'!$N:$N,"&lt;=31.08.2016",'Отчет РПЗ(ПЗ)_ПЗИП'!$AG:$AG,"&gt;0")</f>
        <v>0</v>
      </c>
      <c r="AW63" s="400">
        <f>SUMIFS('Отчет РПЗ(ПЗ)_ПЗИП'!$AG:$AG,'Отчет РПЗ(ПЗ)_ПЗИП'!$D:$D,Справочно!$E28,'Отчет РПЗ(ПЗ)_ПЗИП'!$AO:$AO,8)</f>
        <v>0</v>
      </c>
      <c r="AX63" s="445" t="str">
        <f t="shared" si="117"/>
        <v>НД</v>
      </c>
      <c r="AY63" s="303" t="str">
        <f t="shared" si="92"/>
        <v>НД</v>
      </c>
      <c r="AZ63" s="504">
        <f>SUMIFS('Отчет РПЗ(ПЗ)_ПЗИП'!$W:$W,'Отчет РПЗ(ПЗ)_ПЗИП'!$D:$D,Справочно!$E28,'Отчет РПЗ(ПЗ)_ПЗИП'!$N:$N,"&gt;=01.09.2016",'Отчет РПЗ(ПЗ)_ПЗИП'!$N:$N,"&lt;=30.09.2016",'Отчет РПЗ(ПЗ)_ПЗИП'!$AG:$AG,"&gt;0")</f>
        <v>0</v>
      </c>
      <c r="BA63" s="400">
        <f>SUMIFS('Отчет РПЗ(ПЗ)_ПЗИП'!$AG:$AG,'Отчет РПЗ(ПЗ)_ПЗИП'!$D:$D,Справочно!$E28,'Отчет РПЗ(ПЗ)_ПЗИП'!$AO:$AO,9)</f>
        <v>0</v>
      </c>
      <c r="BB63" s="445" t="str">
        <f t="shared" si="118"/>
        <v>НД</v>
      </c>
      <c r="BC63" s="303" t="str">
        <f t="shared" si="93"/>
        <v>НД</v>
      </c>
      <c r="BD63" s="503">
        <f t="shared" si="119"/>
        <v>0</v>
      </c>
      <c r="BE63" s="402">
        <f t="shared" si="120"/>
        <v>0</v>
      </c>
      <c r="BF63" s="402" t="str">
        <f t="shared" si="121"/>
        <v>НД</v>
      </c>
      <c r="BG63" s="305" t="str">
        <f t="shared" si="94"/>
        <v>НД</v>
      </c>
      <c r="BH63" s="493">
        <f>SUMIFS('Отчет РПЗ(ПЗ)_ПЗИП'!$W:$W,'Отчет РПЗ(ПЗ)_ПЗИП'!$D:$D,Справочно!$E28,'Отчет РПЗ(ПЗ)_ПЗИП'!$N:$N,"&gt;=01.10.2016",'Отчет РПЗ(ПЗ)_ПЗИП'!$N:$N,"&lt;=31.10.2016",'Отчет РПЗ(ПЗ)_ПЗИП'!$AG:$AG,"&gt;0")</f>
        <v>0</v>
      </c>
      <c r="BI63" s="403">
        <f>SUMIFS('Отчет РПЗ(ПЗ)_ПЗИП'!$AG:$AG,'Отчет РПЗ(ПЗ)_ПЗИП'!$D:$D,Справочно!$E28,'Отчет РПЗ(ПЗ)_ПЗИП'!$AO:$AO,10)</f>
        <v>0</v>
      </c>
      <c r="BJ63" s="447" t="str">
        <f t="shared" si="122"/>
        <v>НД</v>
      </c>
      <c r="BK63" s="307" t="str">
        <f t="shared" si="95"/>
        <v>НД</v>
      </c>
      <c r="BL63" s="508">
        <f>SUMIFS('Отчет РПЗ(ПЗ)_ПЗИП'!$W:$W,'Отчет РПЗ(ПЗ)_ПЗИП'!$D:$D,Справочно!$E28,'Отчет РПЗ(ПЗ)_ПЗИП'!$N:$N,"&gt;=01.11.2016",'Отчет РПЗ(ПЗ)_ПЗИП'!$N:$N,"&lt;=30.11.2016",'Отчет РПЗ(ПЗ)_ПЗИП'!$AG:$AG,"&gt;0")</f>
        <v>0</v>
      </c>
      <c r="BM63" s="403">
        <f>SUMIFS('Отчет РПЗ(ПЗ)_ПЗИП'!$AG:$AG,'Отчет РПЗ(ПЗ)_ПЗИП'!$D:$D,Справочно!$E28,'Отчет РПЗ(ПЗ)_ПЗИП'!$AO:$AO,11)</f>
        <v>0</v>
      </c>
      <c r="BN63" s="447" t="str">
        <f t="shared" si="123"/>
        <v>НД</v>
      </c>
      <c r="BO63" s="307" t="str">
        <f t="shared" si="96"/>
        <v>НД</v>
      </c>
      <c r="BP63" s="508">
        <f>SUMIFS('Отчет РПЗ(ПЗ)_ПЗИП'!$W:$W,'Отчет РПЗ(ПЗ)_ПЗИП'!$D:$D,Справочно!$E28,'Отчет РПЗ(ПЗ)_ПЗИП'!$N:$N,"&gt;=01.12.2016",'Отчет РПЗ(ПЗ)_ПЗИП'!$N:$N,"&lt;=31.12.2016",'Отчет РПЗ(ПЗ)_ПЗИП'!$AG:$AG,"&gt;0")</f>
        <v>0</v>
      </c>
      <c r="BQ63" s="403">
        <f>SUMIFS('Отчет РПЗ(ПЗ)_ПЗИП'!$AG:$AG,'Отчет РПЗ(ПЗ)_ПЗИП'!$D:$D,Справочно!$E28,'Отчет РПЗ(ПЗ)_ПЗИП'!$AO:$AO,12)</f>
        <v>0</v>
      </c>
      <c r="BR63" s="447" t="str">
        <f t="shared" si="124"/>
        <v>НД</v>
      </c>
      <c r="BS63" s="309" t="str">
        <f t="shared" si="97"/>
        <v>НД</v>
      </c>
      <c r="BT63" s="503">
        <f t="shared" si="125"/>
        <v>0</v>
      </c>
      <c r="BU63" s="405">
        <f t="shared" si="126"/>
        <v>0</v>
      </c>
      <c r="BV63" s="405" t="str">
        <f t="shared" si="127"/>
        <v>НД</v>
      </c>
      <c r="BW63" s="310" t="str">
        <f t="shared" si="98"/>
        <v>НД</v>
      </c>
    </row>
    <row r="64" spans="2:75" ht="13.5" thickBot="1" x14ac:dyDescent="0.25">
      <c r="B64" s="58" t="str">
        <f>Справочно!E29</f>
        <v>АО "Объединенная двигателестроительная корпорация"</v>
      </c>
      <c r="C64" s="96" t="e">
        <f>ПП!B52</f>
        <v>#REF!</v>
      </c>
      <c r="D64" s="491" t="e">
        <f>ПП!C52</f>
        <v>#REF!</v>
      </c>
      <c r="E64" s="516" t="e">
        <f>ПП!D52</f>
        <v>#REF!</v>
      </c>
      <c r="F64" s="356">
        <f>COUNTIFS('Отчет РПЗ(ПЗ)_ПЗИП'!$AG:$AG,"&gt;0",'Отчет РПЗ(ПЗ)_ПЗИП'!$D:$D,Справочно!$E29)</f>
        <v>0</v>
      </c>
      <c r="G64" s="517" t="e">
        <f t="shared" si="99"/>
        <v>#DIV/0!</v>
      </c>
      <c r="H64" s="518">
        <f>SUMIF('Отчет РПЗ(ПЗ)_ПЗИП'!$D:$D,Справочно!$E29,'Отчет РПЗ(ПЗ)_ПЗИП'!$AG:$AG)</f>
        <v>0</v>
      </c>
      <c r="I64" s="519">
        <f t="shared" si="100"/>
        <v>0</v>
      </c>
      <c r="J64" s="296" t="e">
        <f t="shared" si="101"/>
        <v>#DIV/0!</v>
      </c>
      <c r="L64" s="509">
        <f>SUMIFS('Отчет РПЗ(ПЗ)_ПЗИП'!$W:$W,'Отчет РПЗ(ПЗ)_ПЗИП'!$D:$D,Справочно!$E29,'Отчет РПЗ(ПЗ)_ПЗИП'!$N:$N,"&gt;=01.01.2016",'Отчет РПЗ(ПЗ)_ПЗИП'!$N:$N,"&lt;=31.01.2016",'Отчет РПЗ(ПЗ)_ПЗИП'!$AG:$AG,"&gt;0")</f>
        <v>0</v>
      </c>
      <c r="M64" s="394">
        <f>SUMIFS('Отчет РПЗ(ПЗ)_ПЗИП'!$AG:$AG,'Отчет РПЗ(ПЗ)_ПЗИП'!$D:$D,Справочно!$E29,'Отчет РПЗ(ПЗ)_ПЗИП'!$AO:$AO,1)</f>
        <v>0</v>
      </c>
      <c r="N64" s="406" t="str">
        <f t="shared" si="102"/>
        <v>НД</v>
      </c>
      <c r="O64" s="297" t="str">
        <f t="shared" si="103"/>
        <v>НД</v>
      </c>
      <c r="P64" s="504">
        <f>SUMIFS('Отчет РПЗ(ПЗ)_ПЗИП'!$W:$W,'Отчет РПЗ(ПЗ)_ПЗИП'!$D:$D,Справочно!$E29,'Отчет РПЗ(ПЗ)_ПЗИП'!$N:$N,"&gt;=01.02.2016",'Отчет РПЗ(ПЗ)_ПЗИП'!$N:$N,"&lt;=29.02.2016",'Отчет РПЗ(ПЗ)_ПЗИП'!$AG:$AG,"&gt;0")</f>
        <v>0</v>
      </c>
      <c r="Q64" s="394">
        <f>SUMIFS('Отчет РПЗ(ПЗ)_ПЗИП'!$AG:$AG,'Отчет РПЗ(ПЗ)_ПЗИП'!$D:$D,Справочно!$E29,'Отчет РПЗ(ПЗ)_ПЗИП'!$AO:$AO,2)</f>
        <v>0</v>
      </c>
      <c r="R64" s="406" t="str">
        <f t="shared" si="104"/>
        <v>НД</v>
      </c>
      <c r="S64" s="297" t="str">
        <f t="shared" si="105"/>
        <v>НД</v>
      </c>
      <c r="T64" s="504">
        <f>SUMIFS('Отчет РПЗ(ПЗ)_ПЗИП'!$W:$W,'Отчет РПЗ(ПЗ)_ПЗИП'!$D:$D,Справочно!$E29,'Отчет РПЗ(ПЗ)_ПЗИП'!$N:$N,"&gt;=01.03.2016",'Отчет РПЗ(ПЗ)_ПЗИП'!$N:$N,"&lt;=31.03.2016",'Отчет РПЗ(ПЗ)_ПЗИП'!$AG:$AG,"&gt;0")</f>
        <v>0</v>
      </c>
      <c r="U64" s="394">
        <f>SUMIFS('Отчет РПЗ(ПЗ)_ПЗИП'!$AG:$AG,'Отчет РПЗ(ПЗ)_ПЗИП'!$D:$D,Справочно!$E29,'Отчет РПЗ(ПЗ)_ПЗИП'!$AO:$AO,3)</f>
        <v>0</v>
      </c>
      <c r="V64" s="406" t="str">
        <f t="shared" si="106"/>
        <v>НД</v>
      </c>
      <c r="W64" s="297" t="str">
        <f t="shared" si="85"/>
        <v>НД</v>
      </c>
      <c r="X64" s="503">
        <f t="shared" si="107"/>
        <v>0</v>
      </c>
      <c r="Y64" s="396">
        <f t="shared" si="108"/>
        <v>0</v>
      </c>
      <c r="Z64" s="396" t="str">
        <f t="shared" si="109"/>
        <v>НД</v>
      </c>
      <c r="AA64" s="299" t="str">
        <f t="shared" si="86"/>
        <v>НД</v>
      </c>
      <c r="AB64" s="509">
        <f>SUMIFS('Отчет РПЗ(ПЗ)_ПЗИП'!$W:$W,'Отчет РПЗ(ПЗ)_ПЗИП'!$D:$D,Справочно!$E29,'Отчет РПЗ(ПЗ)_ПЗИП'!$N:$N,"&gt;=01.04.2016",'Отчет РПЗ(ПЗ)_ПЗИП'!$N:$N,"&lt;=30.04.2016",'Отчет РПЗ(ПЗ)_ПЗИП'!$AG:$AG,"&gt;0")</f>
        <v>0</v>
      </c>
      <c r="AC64" s="397">
        <f>SUMIFS('Отчет РПЗ(ПЗ)_ПЗИП'!$AG:$AG,'Отчет РПЗ(ПЗ)_ПЗИП'!$D:$D,Справочно!$E29,'Отчет РПЗ(ПЗ)_ПЗИП'!$AO:$AO,4)</f>
        <v>0</v>
      </c>
      <c r="AD64" s="397" t="str">
        <f t="shared" si="110"/>
        <v>НД</v>
      </c>
      <c r="AE64" s="298" t="str">
        <f t="shared" si="87"/>
        <v>НД</v>
      </c>
      <c r="AF64" s="508">
        <f>SUMIFS('Отчет РПЗ(ПЗ)_ПЗИП'!$W:$W,'Отчет РПЗ(ПЗ)_ПЗИП'!$D:$D,Справочно!$E29,'Отчет РПЗ(ПЗ)_ПЗИП'!$N:$N,"&gt;=01.05.2016",'Отчет РПЗ(ПЗ)_ПЗИП'!$N:$N,"&lt;=31.05.2016",'Отчет РПЗ(ПЗ)_ПЗИП'!$AG:$AG,"&gt;0")</f>
        <v>0</v>
      </c>
      <c r="AG64" s="397">
        <f>SUMIFS('Отчет РПЗ(ПЗ)_ПЗИП'!$AG:$AG,'Отчет РПЗ(ПЗ)_ПЗИП'!$D:$D,Справочно!$E29,'Отчет РПЗ(ПЗ)_ПЗИП'!$AO:$AO,5)</f>
        <v>0</v>
      </c>
      <c r="AH64" s="397" t="str">
        <f t="shared" si="111"/>
        <v>НД</v>
      </c>
      <c r="AI64" s="298" t="str">
        <f t="shared" si="88"/>
        <v>НД</v>
      </c>
      <c r="AJ64" s="508">
        <f>SUMIFS('Отчет РПЗ(ПЗ)_ПЗИП'!$W:$W,'Отчет РПЗ(ПЗ)_ПЗИП'!$D:$D,Справочно!$E29,'Отчет РПЗ(ПЗ)_ПЗИП'!$N:$N,"&gt;=01.06.2016",'Отчет РПЗ(ПЗ)_ПЗИП'!$N:$N,"&lt;=30.06.2016",'Отчет РПЗ(ПЗ)_ПЗИП'!$AG:$AG,"&gt;0")</f>
        <v>0</v>
      </c>
      <c r="AK64" s="397">
        <f>SUMIFS('Отчет РПЗ(ПЗ)_ПЗИП'!$AG:$AG,'Отчет РПЗ(ПЗ)_ПЗИП'!$D:$D,Справочно!$E29,'Отчет РПЗ(ПЗ)_ПЗИП'!$AO:$AO,6)</f>
        <v>0</v>
      </c>
      <c r="AL64" s="397" t="str">
        <f t="shared" si="112"/>
        <v>НД</v>
      </c>
      <c r="AM64" s="298" t="str">
        <f t="shared" si="89"/>
        <v>НД</v>
      </c>
      <c r="AN64" s="503">
        <f t="shared" si="113"/>
        <v>0</v>
      </c>
      <c r="AO64" s="399">
        <f t="shared" si="114"/>
        <v>0</v>
      </c>
      <c r="AP64" s="399" t="str">
        <f t="shared" si="115"/>
        <v>НД</v>
      </c>
      <c r="AQ64" s="301" t="str">
        <f t="shared" si="90"/>
        <v>НД</v>
      </c>
      <c r="AR64" s="509">
        <f>SUMIFS('Отчет РПЗ(ПЗ)_ПЗИП'!$W:$W,'Отчет РПЗ(ПЗ)_ПЗИП'!$D:$D,Справочно!$E29,'Отчет РПЗ(ПЗ)_ПЗИП'!$N:$N,"&gt;=01.07.2016",'Отчет РПЗ(ПЗ)_ПЗИП'!$N:$N,"&lt;=31.07.2016",'Отчет РПЗ(ПЗ)_ПЗИП'!$AG:$AG,"&gt;0")</f>
        <v>0</v>
      </c>
      <c r="AS64" s="400">
        <f>SUMIFS('Отчет РПЗ(ПЗ)_ПЗИП'!$AG:$AG,'Отчет РПЗ(ПЗ)_ПЗИП'!$D:$D,Справочно!$E29,'Отчет РПЗ(ПЗ)_ПЗИП'!$AO:$AO,7)</f>
        <v>0</v>
      </c>
      <c r="AT64" s="445" t="str">
        <f t="shared" si="116"/>
        <v>НД</v>
      </c>
      <c r="AU64" s="303" t="str">
        <f t="shared" si="91"/>
        <v>НД</v>
      </c>
      <c r="AV64" s="504">
        <f>SUMIFS('Отчет РПЗ(ПЗ)_ПЗИП'!$W:$W,'Отчет РПЗ(ПЗ)_ПЗИП'!$D:$D,Справочно!$E29,'Отчет РПЗ(ПЗ)_ПЗИП'!$N:$N,"&gt;=01.08.2016",'Отчет РПЗ(ПЗ)_ПЗИП'!$N:$N,"&lt;=31.08.2016",'Отчет РПЗ(ПЗ)_ПЗИП'!$AG:$AG,"&gt;0")</f>
        <v>0</v>
      </c>
      <c r="AW64" s="400">
        <f>SUMIFS('Отчет РПЗ(ПЗ)_ПЗИП'!$AG:$AG,'Отчет РПЗ(ПЗ)_ПЗИП'!$D:$D,Справочно!$E29,'Отчет РПЗ(ПЗ)_ПЗИП'!$AO:$AO,8)</f>
        <v>0</v>
      </c>
      <c r="AX64" s="445" t="str">
        <f t="shared" si="117"/>
        <v>НД</v>
      </c>
      <c r="AY64" s="303" t="str">
        <f t="shared" si="92"/>
        <v>НД</v>
      </c>
      <c r="AZ64" s="504">
        <f>SUMIFS('Отчет РПЗ(ПЗ)_ПЗИП'!$W:$W,'Отчет РПЗ(ПЗ)_ПЗИП'!$D:$D,Справочно!$E29,'Отчет РПЗ(ПЗ)_ПЗИП'!$N:$N,"&gt;=01.09.2016",'Отчет РПЗ(ПЗ)_ПЗИП'!$N:$N,"&lt;=30.09.2016",'Отчет РПЗ(ПЗ)_ПЗИП'!$AG:$AG,"&gt;0")</f>
        <v>0</v>
      </c>
      <c r="BA64" s="400">
        <f>SUMIFS('Отчет РПЗ(ПЗ)_ПЗИП'!$AG:$AG,'Отчет РПЗ(ПЗ)_ПЗИП'!$D:$D,Справочно!$E29,'Отчет РПЗ(ПЗ)_ПЗИП'!$AO:$AO,9)</f>
        <v>0</v>
      </c>
      <c r="BB64" s="445" t="str">
        <f t="shared" si="118"/>
        <v>НД</v>
      </c>
      <c r="BC64" s="303" t="str">
        <f t="shared" si="93"/>
        <v>НД</v>
      </c>
      <c r="BD64" s="503">
        <f t="shared" si="119"/>
        <v>0</v>
      </c>
      <c r="BE64" s="402">
        <f t="shared" si="120"/>
        <v>0</v>
      </c>
      <c r="BF64" s="402" t="str">
        <f t="shared" si="121"/>
        <v>НД</v>
      </c>
      <c r="BG64" s="305" t="str">
        <f t="shared" si="94"/>
        <v>НД</v>
      </c>
      <c r="BH64" s="493">
        <f>SUMIFS('Отчет РПЗ(ПЗ)_ПЗИП'!$W:$W,'Отчет РПЗ(ПЗ)_ПЗИП'!$D:$D,Справочно!$E29,'Отчет РПЗ(ПЗ)_ПЗИП'!$N:$N,"&gt;=01.10.2016",'Отчет РПЗ(ПЗ)_ПЗИП'!$N:$N,"&lt;=31.10.2016",'Отчет РПЗ(ПЗ)_ПЗИП'!$AG:$AG,"&gt;0")</f>
        <v>0</v>
      </c>
      <c r="BI64" s="403">
        <f>SUMIFS('Отчет РПЗ(ПЗ)_ПЗИП'!$AG:$AG,'Отчет РПЗ(ПЗ)_ПЗИП'!$D:$D,Справочно!$E29,'Отчет РПЗ(ПЗ)_ПЗИП'!$AO:$AO,10)</f>
        <v>0</v>
      </c>
      <c r="BJ64" s="447" t="str">
        <f t="shared" si="122"/>
        <v>НД</v>
      </c>
      <c r="BK64" s="307" t="str">
        <f t="shared" si="95"/>
        <v>НД</v>
      </c>
      <c r="BL64" s="508">
        <f>SUMIFS('Отчет РПЗ(ПЗ)_ПЗИП'!$W:$W,'Отчет РПЗ(ПЗ)_ПЗИП'!$D:$D,Справочно!$E29,'Отчет РПЗ(ПЗ)_ПЗИП'!$N:$N,"&gt;=01.11.2016",'Отчет РПЗ(ПЗ)_ПЗИП'!$N:$N,"&lt;=30.11.2016",'Отчет РПЗ(ПЗ)_ПЗИП'!$AG:$AG,"&gt;0")</f>
        <v>0</v>
      </c>
      <c r="BM64" s="403">
        <f>SUMIFS('Отчет РПЗ(ПЗ)_ПЗИП'!$AG:$AG,'Отчет РПЗ(ПЗ)_ПЗИП'!$D:$D,Справочно!$E29,'Отчет РПЗ(ПЗ)_ПЗИП'!$AO:$AO,11)</f>
        <v>0</v>
      </c>
      <c r="BN64" s="447" t="str">
        <f t="shared" si="123"/>
        <v>НД</v>
      </c>
      <c r="BO64" s="307" t="str">
        <f t="shared" si="96"/>
        <v>НД</v>
      </c>
      <c r="BP64" s="508">
        <f>SUMIFS('Отчет РПЗ(ПЗ)_ПЗИП'!$W:$W,'Отчет РПЗ(ПЗ)_ПЗИП'!$D:$D,Справочно!$E29,'Отчет РПЗ(ПЗ)_ПЗИП'!$N:$N,"&gt;=01.12.2016",'Отчет РПЗ(ПЗ)_ПЗИП'!$N:$N,"&lt;=31.12.2016",'Отчет РПЗ(ПЗ)_ПЗИП'!$AG:$AG,"&gt;0")</f>
        <v>0</v>
      </c>
      <c r="BQ64" s="403">
        <f>SUMIFS('Отчет РПЗ(ПЗ)_ПЗИП'!$AG:$AG,'Отчет РПЗ(ПЗ)_ПЗИП'!$D:$D,Справочно!$E29,'Отчет РПЗ(ПЗ)_ПЗИП'!$AO:$AO,12)</f>
        <v>0</v>
      </c>
      <c r="BR64" s="447" t="str">
        <f t="shared" si="124"/>
        <v>НД</v>
      </c>
      <c r="BS64" s="309" t="str">
        <f t="shared" si="97"/>
        <v>НД</v>
      </c>
      <c r="BT64" s="503">
        <f t="shared" si="125"/>
        <v>0</v>
      </c>
      <c r="BU64" s="405">
        <f t="shared" si="126"/>
        <v>0</v>
      </c>
      <c r="BV64" s="405" t="str">
        <f t="shared" si="127"/>
        <v>НД</v>
      </c>
      <c r="BW64" s="310" t="str">
        <f t="shared" si="98"/>
        <v>НД</v>
      </c>
    </row>
    <row r="65" spans="2:75" ht="15" customHeight="1" thickBot="1" x14ac:dyDescent="0.25">
      <c r="B65" s="58" t="str">
        <f>Справочно!E30</f>
        <v>ООО "РТ-Информ"</v>
      </c>
      <c r="C65" s="96" t="e">
        <f>ПП!B53</f>
        <v>#REF!</v>
      </c>
      <c r="D65" s="491" t="e">
        <f>ПП!C53</f>
        <v>#REF!</v>
      </c>
      <c r="E65" s="516" t="e">
        <f>ПП!D53</f>
        <v>#REF!</v>
      </c>
      <c r="F65" s="356">
        <f>COUNTIFS('Отчет РПЗ(ПЗ)_ПЗИП'!$AG:$AG,"&gt;0",'Отчет РПЗ(ПЗ)_ПЗИП'!$D:$D,Справочно!$E30)</f>
        <v>0</v>
      </c>
      <c r="G65" s="517" t="e">
        <f t="shared" si="99"/>
        <v>#DIV/0!</v>
      </c>
      <c r="H65" s="518">
        <f>SUMIF('Отчет РПЗ(ПЗ)_ПЗИП'!$D:$D,Справочно!$E30,'Отчет РПЗ(ПЗ)_ПЗИП'!$AG:$AG)</f>
        <v>0</v>
      </c>
      <c r="I65" s="519">
        <f t="shared" si="100"/>
        <v>0</v>
      </c>
      <c r="J65" s="296" t="e">
        <f t="shared" si="101"/>
        <v>#DIV/0!</v>
      </c>
      <c r="L65" s="509">
        <f>SUMIFS('Отчет РПЗ(ПЗ)_ПЗИП'!$W:$W,'Отчет РПЗ(ПЗ)_ПЗИП'!$D:$D,Справочно!$E30,'Отчет РПЗ(ПЗ)_ПЗИП'!$N:$N,"&gt;=01.01.2016",'Отчет РПЗ(ПЗ)_ПЗИП'!$N:$N,"&lt;=31.01.2016",'Отчет РПЗ(ПЗ)_ПЗИП'!$AG:$AG,"&gt;0")</f>
        <v>0</v>
      </c>
      <c r="M65" s="394">
        <f>SUMIFS('Отчет РПЗ(ПЗ)_ПЗИП'!$AG:$AG,'Отчет РПЗ(ПЗ)_ПЗИП'!$D:$D,Справочно!$E30,'Отчет РПЗ(ПЗ)_ПЗИП'!$AO:$AO,1)</f>
        <v>0</v>
      </c>
      <c r="N65" s="406" t="str">
        <f t="shared" si="102"/>
        <v>НД</v>
      </c>
      <c r="O65" s="297" t="str">
        <f t="shared" si="103"/>
        <v>НД</v>
      </c>
      <c r="P65" s="504">
        <f>SUMIFS('Отчет РПЗ(ПЗ)_ПЗИП'!$W:$W,'Отчет РПЗ(ПЗ)_ПЗИП'!$D:$D,Справочно!$E30,'Отчет РПЗ(ПЗ)_ПЗИП'!$N:$N,"&gt;=01.02.2016",'Отчет РПЗ(ПЗ)_ПЗИП'!$N:$N,"&lt;=29.02.2016",'Отчет РПЗ(ПЗ)_ПЗИП'!$AG:$AG,"&gt;0")</f>
        <v>0</v>
      </c>
      <c r="Q65" s="394">
        <f>SUMIFS('Отчет РПЗ(ПЗ)_ПЗИП'!$AG:$AG,'Отчет РПЗ(ПЗ)_ПЗИП'!$D:$D,Справочно!$E30,'Отчет РПЗ(ПЗ)_ПЗИП'!$AO:$AO,2)</f>
        <v>0</v>
      </c>
      <c r="R65" s="406" t="str">
        <f t="shared" si="104"/>
        <v>НД</v>
      </c>
      <c r="S65" s="297" t="str">
        <f t="shared" si="105"/>
        <v>НД</v>
      </c>
      <c r="T65" s="504">
        <f>SUMIFS('Отчет РПЗ(ПЗ)_ПЗИП'!$W:$W,'Отчет РПЗ(ПЗ)_ПЗИП'!$D:$D,Справочно!$E30,'Отчет РПЗ(ПЗ)_ПЗИП'!$N:$N,"&gt;=01.03.2016",'Отчет РПЗ(ПЗ)_ПЗИП'!$N:$N,"&lt;=31.03.2016",'Отчет РПЗ(ПЗ)_ПЗИП'!$AG:$AG,"&gt;0")</f>
        <v>0</v>
      </c>
      <c r="U65" s="394">
        <f>SUMIFS('Отчет РПЗ(ПЗ)_ПЗИП'!$AG:$AG,'Отчет РПЗ(ПЗ)_ПЗИП'!$D:$D,Справочно!$E30,'Отчет РПЗ(ПЗ)_ПЗИП'!$AO:$AO,3)</f>
        <v>0</v>
      </c>
      <c r="V65" s="406" t="str">
        <f t="shared" si="106"/>
        <v>НД</v>
      </c>
      <c r="W65" s="297" t="str">
        <f t="shared" si="85"/>
        <v>НД</v>
      </c>
      <c r="X65" s="503">
        <f t="shared" si="107"/>
        <v>0</v>
      </c>
      <c r="Y65" s="396">
        <f t="shared" si="108"/>
        <v>0</v>
      </c>
      <c r="Z65" s="396" t="str">
        <f t="shared" si="109"/>
        <v>НД</v>
      </c>
      <c r="AA65" s="299" t="str">
        <f t="shared" si="86"/>
        <v>НД</v>
      </c>
      <c r="AB65" s="509">
        <f>SUMIFS('Отчет РПЗ(ПЗ)_ПЗИП'!$W:$W,'Отчет РПЗ(ПЗ)_ПЗИП'!$D:$D,Справочно!$E30,'Отчет РПЗ(ПЗ)_ПЗИП'!$N:$N,"&gt;=01.04.2016",'Отчет РПЗ(ПЗ)_ПЗИП'!$N:$N,"&lt;=30.04.2016",'Отчет РПЗ(ПЗ)_ПЗИП'!$AG:$AG,"&gt;0")</f>
        <v>0</v>
      </c>
      <c r="AC65" s="397">
        <f>SUMIFS('Отчет РПЗ(ПЗ)_ПЗИП'!$AG:$AG,'Отчет РПЗ(ПЗ)_ПЗИП'!$D:$D,Справочно!$E30,'Отчет РПЗ(ПЗ)_ПЗИП'!$AO:$AO,4)</f>
        <v>0</v>
      </c>
      <c r="AD65" s="397" t="str">
        <f t="shared" si="110"/>
        <v>НД</v>
      </c>
      <c r="AE65" s="298" t="str">
        <f t="shared" si="87"/>
        <v>НД</v>
      </c>
      <c r="AF65" s="508">
        <f>SUMIFS('Отчет РПЗ(ПЗ)_ПЗИП'!$W:$W,'Отчет РПЗ(ПЗ)_ПЗИП'!$D:$D,Справочно!$E30,'Отчет РПЗ(ПЗ)_ПЗИП'!$N:$N,"&gt;=01.05.2016",'Отчет РПЗ(ПЗ)_ПЗИП'!$N:$N,"&lt;=31.05.2016",'Отчет РПЗ(ПЗ)_ПЗИП'!$AG:$AG,"&gt;0")</f>
        <v>0</v>
      </c>
      <c r="AG65" s="397">
        <f>SUMIFS('Отчет РПЗ(ПЗ)_ПЗИП'!$AG:$AG,'Отчет РПЗ(ПЗ)_ПЗИП'!$D:$D,Справочно!$E30,'Отчет РПЗ(ПЗ)_ПЗИП'!$AO:$AO,5)</f>
        <v>0</v>
      </c>
      <c r="AH65" s="397" t="str">
        <f t="shared" si="111"/>
        <v>НД</v>
      </c>
      <c r="AI65" s="298" t="str">
        <f t="shared" si="88"/>
        <v>НД</v>
      </c>
      <c r="AJ65" s="508">
        <f>SUMIFS('Отчет РПЗ(ПЗ)_ПЗИП'!$W:$W,'Отчет РПЗ(ПЗ)_ПЗИП'!$D:$D,Справочно!$E30,'Отчет РПЗ(ПЗ)_ПЗИП'!$N:$N,"&gt;=01.06.2016",'Отчет РПЗ(ПЗ)_ПЗИП'!$N:$N,"&lt;=30.06.2016",'Отчет РПЗ(ПЗ)_ПЗИП'!$AG:$AG,"&gt;0")</f>
        <v>0</v>
      </c>
      <c r="AK65" s="397">
        <f>SUMIFS('Отчет РПЗ(ПЗ)_ПЗИП'!$AG:$AG,'Отчет РПЗ(ПЗ)_ПЗИП'!$D:$D,Справочно!$E30,'Отчет РПЗ(ПЗ)_ПЗИП'!$AO:$AO,6)</f>
        <v>0</v>
      </c>
      <c r="AL65" s="397" t="str">
        <f t="shared" si="112"/>
        <v>НД</v>
      </c>
      <c r="AM65" s="298" t="str">
        <f t="shared" si="89"/>
        <v>НД</v>
      </c>
      <c r="AN65" s="503">
        <f t="shared" si="113"/>
        <v>0</v>
      </c>
      <c r="AO65" s="399">
        <f t="shared" si="114"/>
        <v>0</v>
      </c>
      <c r="AP65" s="399" t="str">
        <f t="shared" si="115"/>
        <v>НД</v>
      </c>
      <c r="AQ65" s="301" t="str">
        <f t="shared" si="90"/>
        <v>НД</v>
      </c>
      <c r="AR65" s="509">
        <f>SUMIFS('Отчет РПЗ(ПЗ)_ПЗИП'!$W:$W,'Отчет РПЗ(ПЗ)_ПЗИП'!$D:$D,Справочно!$E30,'Отчет РПЗ(ПЗ)_ПЗИП'!$N:$N,"&gt;=01.07.2016",'Отчет РПЗ(ПЗ)_ПЗИП'!$N:$N,"&lt;=31.07.2016",'Отчет РПЗ(ПЗ)_ПЗИП'!$AG:$AG,"&gt;0")</f>
        <v>0</v>
      </c>
      <c r="AS65" s="400">
        <f>SUMIFS('Отчет РПЗ(ПЗ)_ПЗИП'!$AG:$AG,'Отчет РПЗ(ПЗ)_ПЗИП'!$D:$D,Справочно!$E30,'Отчет РПЗ(ПЗ)_ПЗИП'!$AO:$AO,7)</f>
        <v>0</v>
      </c>
      <c r="AT65" s="445" t="str">
        <f t="shared" si="116"/>
        <v>НД</v>
      </c>
      <c r="AU65" s="303" t="str">
        <f t="shared" si="91"/>
        <v>НД</v>
      </c>
      <c r="AV65" s="504">
        <f>SUMIFS('Отчет РПЗ(ПЗ)_ПЗИП'!$W:$W,'Отчет РПЗ(ПЗ)_ПЗИП'!$D:$D,Справочно!$E30,'Отчет РПЗ(ПЗ)_ПЗИП'!$N:$N,"&gt;=01.08.2016",'Отчет РПЗ(ПЗ)_ПЗИП'!$N:$N,"&lt;=31.08.2016",'Отчет РПЗ(ПЗ)_ПЗИП'!$AG:$AG,"&gt;0")</f>
        <v>0</v>
      </c>
      <c r="AW65" s="400">
        <f>SUMIFS('Отчет РПЗ(ПЗ)_ПЗИП'!$AG:$AG,'Отчет РПЗ(ПЗ)_ПЗИП'!$D:$D,Справочно!$E30,'Отчет РПЗ(ПЗ)_ПЗИП'!$AO:$AO,8)</f>
        <v>0</v>
      </c>
      <c r="AX65" s="445" t="str">
        <f t="shared" si="117"/>
        <v>НД</v>
      </c>
      <c r="AY65" s="303" t="str">
        <f t="shared" si="92"/>
        <v>НД</v>
      </c>
      <c r="AZ65" s="504">
        <f>SUMIFS('Отчет РПЗ(ПЗ)_ПЗИП'!$W:$W,'Отчет РПЗ(ПЗ)_ПЗИП'!$D:$D,Справочно!$E30,'Отчет РПЗ(ПЗ)_ПЗИП'!$N:$N,"&gt;=01.09.2016",'Отчет РПЗ(ПЗ)_ПЗИП'!$N:$N,"&lt;=30.09.2016",'Отчет РПЗ(ПЗ)_ПЗИП'!$AG:$AG,"&gt;0")</f>
        <v>0</v>
      </c>
      <c r="BA65" s="400">
        <f>SUMIFS('Отчет РПЗ(ПЗ)_ПЗИП'!$AG:$AG,'Отчет РПЗ(ПЗ)_ПЗИП'!$D:$D,Справочно!$E30,'Отчет РПЗ(ПЗ)_ПЗИП'!$AO:$AO,9)</f>
        <v>0</v>
      </c>
      <c r="BB65" s="445" t="str">
        <f t="shared" si="118"/>
        <v>НД</v>
      </c>
      <c r="BC65" s="303" t="str">
        <f t="shared" si="93"/>
        <v>НД</v>
      </c>
      <c r="BD65" s="503">
        <f t="shared" si="119"/>
        <v>0</v>
      </c>
      <c r="BE65" s="402">
        <f t="shared" si="120"/>
        <v>0</v>
      </c>
      <c r="BF65" s="402" t="str">
        <f t="shared" si="121"/>
        <v>НД</v>
      </c>
      <c r="BG65" s="305" t="str">
        <f t="shared" si="94"/>
        <v>НД</v>
      </c>
      <c r="BH65" s="493">
        <f>SUMIFS('Отчет РПЗ(ПЗ)_ПЗИП'!$W:$W,'Отчет РПЗ(ПЗ)_ПЗИП'!$D:$D,Справочно!$E30,'Отчет РПЗ(ПЗ)_ПЗИП'!$N:$N,"&gt;=01.10.2016",'Отчет РПЗ(ПЗ)_ПЗИП'!$N:$N,"&lt;=31.10.2016",'Отчет РПЗ(ПЗ)_ПЗИП'!$AG:$AG,"&gt;0")</f>
        <v>0</v>
      </c>
      <c r="BI65" s="403">
        <f>SUMIFS('Отчет РПЗ(ПЗ)_ПЗИП'!$AG:$AG,'Отчет РПЗ(ПЗ)_ПЗИП'!$D:$D,Справочно!$E30,'Отчет РПЗ(ПЗ)_ПЗИП'!$AO:$AO,10)</f>
        <v>0</v>
      </c>
      <c r="BJ65" s="447" t="str">
        <f t="shared" si="122"/>
        <v>НД</v>
      </c>
      <c r="BK65" s="307" t="str">
        <f t="shared" si="95"/>
        <v>НД</v>
      </c>
      <c r="BL65" s="508">
        <f>SUMIFS('Отчет РПЗ(ПЗ)_ПЗИП'!$W:$W,'Отчет РПЗ(ПЗ)_ПЗИП'!$D:$D,Справочно!$E30,'Отчет РПЗ(ПЗ)_ПЗИП'!$N:$N,"&gt;=01.11.2016",'Отчет РПЗ(ПЗ)_ПЗИП'!$N:$N,"&lt;=30.11.2016",'Отчет РПЗ(ПЗ)_ПЗИП'!$AG:$AG,"&gt;0")</f>
        <v>0</v>
      </c>
      <c r="BM65" s="403">
        <f>SUMIFS('Отчет РПЗ(ПЗ)_ПЗИП'!$AG:$AG,'Отчет РПЗ(ПЗ)_ПЗИП'!$D:$D,Справочно!$E30,'Отчет РПЗ(ПЗ)_ПЗИП'!$AO:$AO,11)</f>
        <v>0</v>
      </c>
      <c r="BN65" s="447" t="str">
        <f t="shared" si="123"/>
        <v>НД</v>
      </c>
      <c r="BO65" s="307" t="str">
        <f t="shared" si="96"/>
        <v>НД</v>
      </c>
      <c r="BP65" s="508">
        <f>SUMIFS('Отчет РПЗ(ПЗ)_ПЗИП'!$W:$W,'Отчет РПЗ(ПЗ)_ПЗИП'!$D:$D,Справочно!$E30,'Отчет РПЗ(ПЗ)_ПЗИП'!$N:$N,"&gt;=01.12.2016",'Отчет РПЗ(ПЗ)_ПЗИП'!$N:$N,"&lt;=31.12.2016",'Отчет РПЗ(ПЗ)_ПЗИП'!$AG:$AG,"&gt;0")</f>
        <v>0</v>
      </c>
      <c r="BQ65" s="403">
        <f>SUMIFS('Отчет РПЗ(ПЗ)_ПЗИП'!$AG:$AG,'Отчет РПЗ(ПЗ)_ПЗИП'!$D:$D,Справочно!$E30,'Отчет РПЗ(ПЗ)_ПЗИП'!$AO:$AO,12)</f>
        <v>0</v>
      </c>
      <c r="BR65" s="447" t="str">
        <f t="shared" si="124"/>
        <v>НД</v>
      </c>
      <c r="BS65" s="309" t="str">
        <f t="shared" si="97"/>
        <v>НД</v>
      </c>
      <c r="BT65" s="503">
        <f t="shared" si="125"/>
        <v>0</v>
      </c>
      <c r="BU65" s="405">
        <f t="shared" si="126"/>
        <v>0</v>
      </c>
      <c r="BV65" s="405" t="str">
        <f t="shared" si="127"/>
        <v>НД</v>
      </c>
      <c r="BW65" s="310" t="str">
        <f t="shared" si="98"/>
        <v>НД</v>
      </c>
    </row>
    <row r="66" spans="2:75" ht="15" customHeight="1" thickBot="1" x14ac:dyDescent="0.25">
      <c r="B66" s="58" t="str">
        <f>Справочно!E31</f>
        <v>ООО "РТ-Комплектимпекс"</v>
      </c>
      <c r="C66" s="96" t="e">
        <f>ПП!B54</f>
        <v>#REF!</v>
      </c>
      <c r="D66" s="491" t="e">
        <f>ПП!C54</f>
        <v>#REF!</v>
      </c>
      <c r="E66" s="516" t="e">
        <f>ПП!D54</f>
        <v>#REF!</v>
      </c>
      <c r="F66" s="356">
        <f>COUNTIFS('Отчет РПЗ(ПЗ)_ПЗИП'!$AG:$AG,"&gt;0",'Отчет РПЗ(ПЗ)_ПЗИП'!$D:$D,Справочно!$E31)</f>
        <v>0</v>
      </c>
      <c r="G66" s="517" t="e">
        <f t="shared" si="99"/>
        <v>#DIV/0!</v>
      </c>
      <c r="H66" s="518">
        <f>SUMIF('Отчет РПЗ(ПЗ)_ПЗИП'!$D:$D,Справочно!$E31,'Отчет РПЗ(ПЗ)_ПЗИП'!$AG:$AG)</f>
        <v>0</v>
      </c>
      <c r="I66" s="519">
        <f t="shared" si="100"/>
        <v>0</v>
      </c>
      <c r="J66" s="296" t="e">
        <f t="shared" si="101"/>
        <v>#DIV/0!</v>
      </c>
      <c r="L66" s="509">
        <f>SUMIFS('Отчет РПЗ(ПЗ)_ПЗИП'!$W:$W,'Отчет РПЗ(ПЗ)_ПЗИП'!$D:$D,Справочно!$E31,'Отчет РПЗ(ПЗ)_ПЗИП'!$N:$N,"&gt;=01.01.2016",'Отчет РПЗ(ПЗ)_ПЗИП'!$N:$N,"&lt;=31.01.2016",'Отчет РПЗ(ПЗ)_ПЗИП'!$AG:$AG,"&gt;0")</f>
        <v>0</v>
      </c>
      <c r="M66" s="394">
        <f>SUMIFS('Отчет РПЗ(ПЗ)_ПЗИП'!$AG:$AG,'Отчет РПЗ(ПЗ)_ПЗИП'!$D:$D,Справочно!$E31,'Отчет РПЗ(ПЗ)_ПЗИП'!$AO:$AO,1)</f>
        <v>0</v>
      </c>
      <c r="N66" s="406" t="str">
        <f t="shared" si="102"/>
        <v>НД</v>
      </c>
      <c r="O66" s="297" t="str">
        <f t="shared" si="103"/>
        <v>НД</v>
      </c>
      <c r="P66" s="504">
        <f>SUMIFS('Отчет РПЗ(ПЗ)_ПЗИП'!$W:$W,'Отчет РПЗ(ПЗ)_ПЗИП'!$D:$D,Справочно!$E31,'Отчет РПЗ(ПЗ)_ПЗИП'!$N:$N,"&gt;=01.02.2016",'Отчет РПЗ(ПЗ)_ПЗИП'!$N:$N,"&lt;=29.02.2016",'Отчет РПЗ(ПЗ)_ПЗИП'!$AG:$AG,"&gt;0")</f>
        <v>0</v>
      </c>
      <c r="Q66" s="394">
        <f>SUMIFS('Отчет РПЗ(ПЗ)_ПЗИП'!$AG:$AG,'Отчет РПЗ(ПЗ)_ПЗИП'!$D:$D,Справочно!$E31,'Отчет РПЗ(ПЗ)_ПЗИП'!$AO:$AO,2)</f>
        <v>0</v>
      </c>
      <c r="R66" s="406" t="str">
        <f t="shared" si="104"/>
        <v>НД</v>
      </c>
      <c r="S66" s="297" t="str">
        <f t="shared" si="105"/>
        <v>НД</v>
      </c>
      <c r="T66" s="504">
        <f>SUMIFS('Отчет РПЗ(ПЗ)_ПЗИП'!$W:$W,'Отчет РПЗ(ПЗ)_ПЗИП'!$D:$D,Справочно!$E31,'Отчет РПЗ(ПЗ)_ПЗИП'!$N:$N,"&gt;=01.03.2016",'Отчет РПЗ(ПЗ)_ПЗИП'!$N:$N,"&lt;=31.03.2016",'Отчет РПЗ(ПЗ)_ПЗИП'!$AG:$AG,"&gt;0")</f>
        <v>0</v>
      </c>
      <c r="U66" s="394">
        <f>SUMIFS('Отчет РПЗ(ПЗ)_ПЗИП'!$AG:$AG,'Отчет РПЗ(ПЗ)_ПЗИП'!$D:$D,Справочно!$E31,'Отчет РПЗ(ПЗ)_ПЗИП'!$AO:$AO,3)</f>
        <v>0</v>
      </c>
      <c r="V66" s="406" t="str">
        <f t="shared" si="106"/>
        <v>НД</v>
      </c>
      <c r="W66" s="297" t="str">
        <f t="shared" si="85"/>
        <v>НД</v>
      </c>
      <c r="X66" s="503">
        <f t="shared" si="107"/>
        <v>0</v>
      </c>
      <c r="Y66" s="396">
        <f t="shared" si="108"/>
        <v>0</v>
      </c>
      <c r="Z66" s="396" t="str">
        <f t="shared" si="109"/>
        <v>НД</v>
      </c>
      <c r="AA66" s="299" t="str">
        <f t="shared" si="86"/>
        <v>НД</v>
      </c>
      <c r="AB66" s="509">
        <f>SUMIFS('Отчет РПЗ(ПЗ)_ПЗИП'!$W:$W,'Отчет РПЗ(ПЗ)_ПЗИП'!$D:$D,Справочно!$E31,'Отчет РПЗ(ПЗ)_ПЗИП'!$N:$N,"&gt;=01.04.2016",'Отчет РПЗ(ПЗ)_ПЗИП'!$N:$N,"&lt;=30.04.2016",'Отчет РПЗ(ПЗ)_ПЗИП'!$AG:$AG,"&gt;0")</f>
        <v>0</v>
      </c>
      <c r="AC66" s="397">
        <f>SUMIFS('Отчет РПЗ(ПЗ)_ПЗИП'!$AG:$AG,'Отчет РПЗ(ПЗ)_ПЗИП'!$D:$D,Справочно!$E31,'Отчет РПЗ(ПЗ)_ПЗИП'!$AO:$AO,4)</f>
        <v>0</v>
      </c>
      <c r="AD66" s="397" t="str">
        <f t="shared" si="110"/>
        <v>НД</v>
      </c>
      <c r="AE66" s="298" t="str">
        <f t="shared" si="87"/>
        <v>НД</v>
      </c>
      <c r="AF66" s="508">
        <f>SUMIFS('Отчет РПЗ(ПЗ)_ПЗИП'!$W:$W,'Отчет РПЗ(ПЗ)_ПЗИП'!$D:$D,Справочно!$E31,'Отчет РПЗ(ПЗ)_ПЗИП'!$N:$N,"&gt;=01.05.2016",'Отчет РПЗ(ПЗ)_ПЗИП'!$N:$N,"&lt;=31.05.2016",'Отчет РПЗ(ПЗ)_ПЗИП'!$AG:$AG,"&gt;0")</f>
        <v>0</v>
      </c>
      <c r="AG66" s="397">
        <f>SUMIFS('Отчет РПЗ(ПЗ)_ПЗИП'!$AG:$AG,'Отчет РПЗ(ПЗ)_ПЗИП'!$D:$D,Справочно!$E31,'Отчет РПЗ(ПЗ)_ПЗИП'!$AO:$AO,5)</f>
        <v>0</v>
      </c>
      <c r="AH66" s="397" t="str">
        <f t="shared" si="111"/>
        <v>НД</v>
      </c>
      <c r="AI66" s="298" t="str">
        <f t="shared" si="88"/>
        <v>НД</v>
      </c>
      <c r="AJ66" s="508">
        <f>SUMIFS('Отчет РПЗ(ПЗ)_ПЗИП'!$W:$W,'Отчет РПЗ(ПЗ)_ПЗИП'!$D:$D,Справочно!$E31,'Отчет РПЗ(ПЗ)_ПЗИП'!$N:$N,"&gt;=01.06.2016",'Отчет РПЗ(ПЗ)_ПЗИП'!$N:$N,"&lt;=30.06.2016",'Отчет РПЗ(ПЗ)_ПЗИП'!$AG:$AG,"&gt;0")</f>
        <v>0</v>
      </c>
      <c r="AK66" s="397">
        <f>SUMIFS('Отчет РПЗ(ПЗ)_ПЗИП'!$AG:$AG,'Отчет РПЗ(ПЗ)_ПЗИП'!$D:$D,Справочно!$E31,'Отчет РПЗ(ПЗ)_ПЗИП'!$AO:$AO,6)</f>
        <v>0</v>
      </c>
      <c r="AL66" s="397" t="str">
        <f t="shared" si="112"/>
        <v>НД</v>
      </c>
      <c r="AM66" s="298" t="str">
        <f t="shared" si="89"/>
        <v>НД</v>
      </c>
      <c r="AN66" s="503">
        <f t="shared" si="113"/>
        <v>0</v>
      </c>
      <c r="AO66" s="399">
        <f t="shared" si="114"/>
        <v>0</v>
      </c>
      <c r="AP66" s="399" t="str">
        <f t="shared" si="115"/>
        <v>НД</v>
      </c>
      <c r="AQ66" s="301" t="str">
        <f t="shared" si="90"/>
        <v>НД</v>
      </c>
      <c r="AR66" s="509">
        <f>SUMIFS('Отчет РПЗ(ПЗ)_ПЗИП'!$W:$W,'Отчет РПЗ(ПЗ)_ПЗИП'!$D:$D,Справочно!$E31,'Отчет РПЗ(ПЗ)_ПЗИП'!$N:$N,"&gt;=01.07.2016",'Отчет РПЗ(ПЗ)_ПЗИП'!$N:$N,"&lt;=31.07.2016",'Отчет РПЗ(ПЗ)_ПЗИП'!$AG:$AG,"&gt;0")</f>
        <v>0</v>
      </c>
      <c r="AS66" s="400">
        <f>SUMIFS('Отчет РПЗ(ПЗ)_ПЗИП'!$AG:$AG,'Отчет РПЗ(ПЗ)_ПЗИП'!$D:$D,Справочно!$E31,'Отчет РПЗ(ПЗ)_ПЗИП'!$AO:$AO,7)</f>
        <v>0</v>
      </c>
      <c r="AT66" s="445" t="str">
        <f t="shared" si="116"/>
        <v>НД</v>
      </c>
      <c r="AU66" s="303" t="str">
        <f t="shared" si="91"/>
        <v>НД</v>
      </c>
      <c r="AV66" s="504">
        <f>SUMIFS('Отчет РПЗ(ПЗ)_ПЗИП'!$W:$W,'Отчет РПЗ(ПЗ)_ПЗИП'!$D:$D,Справочно!$E31,'Отчет РПЗ(ПЗ)_ПЗИП'!$N:$N,"&gt;=01.08.2016",'Отчет РПЗ(ПЗ)_ПЗИП'!$N:$N,"&lt;=31.08.2016",'Отчет РПЗ(ПЗ)_ПЗИП'!$AG:$AG,"&gt;0")</f>
        <v>0</v>
      </c>
      <c r="AW66" s="400">
        <f>SUMIFS('Отчет РПЗ(ПЗ)_ПЗИП'!$AG:$AG,'Отчет РПЗ(ПЗ)_ПЗИП'!$D:$D,Справочно!$E31,'Отчет РПЗ(ПЗ)_ПЗИП'!$AO:$AO,8)</f>
        <v>0</v>
      </c>
      <c r="AX66" s="445" t="str">
        <f t="shared" si="117"/>
        <v>НД</v>
      </c>
      <c r="AY66" s="303" t="str">
        <f t="shared" si="92"/>
        <v>НД</v>
      </c>
      <c r="AZ66" s="504">
        <f>SUMIFS('Отчет РПЗ(ПЗ)_ПЗИП'!$W:$W,'Отчет РПЗ(ПЗ)_ПЗИП'!$D:$D,Справочно!$E31,'Отчет РПЗ(ПЗ)_ПЗИП'!$N:$N,"&gt;=01.09.2016",'Отчет РПЗ(ПЗ)_ПЗИП'!$N:$N,"&lt;=30.09.2016",'Отчет РПЗ(ПЗ)_ПЗИП'!$AG:$AG,"&gt;0")</f>
        <v>0</v>
      </c>
      <c r="BA66" s="400">
        <f>SUMIFS('Отчет РПЗ(ПЗ)_ПЗИП'!$AG:$AG,'Отчет РПЗ(ПЗ)_ПЗИП'!$D:$D,Справочно!$E31,'Отчет РПЗ(ПЗ)_ПЗИП'!$AO:$AO,9)</f>
        <v>0</v>
      </c>
      <c r="BB66" s="445" t="str">
        <f t="shared" si="118"/>
        <v>НД</v>
      </c>
      <c r="BC66" s="303" t="str">
        <f t="shared" si="93"/>
        <v>НД</v>
      </c>
      <c r="BD66" s="503">
        <f t="shared" si="119"/>
        <v>0</v>
      </c>
      <c r="BE66" s="402">
        <f t="shared" si="120"/>
        <v>0</v>
      </c>
      <c r="BF66" s="402" t="str">
        <f t="shared" si="121"/>
        <v>НД</v>
      </c>
      <c r="BG66" s="305" t="str">
        <f t="shared" si="94"/>
        <v>НД</v>
      </c>
      <c r="BH66" s="493">
        <f>SUMIFS('Отчет РПЗ(ПЗ)_ПЗИП'!$W:$W,'Отчет РПЗ(ПЗ)_ПЗИП'!$D:$D,Справочно!$E31,'Отчет РПЗ(ПЗ)_ПЗИП'!$N:$N,"&gt;=01.10.2016",'Отчет РПЗ(ПЗ)_ПЗИП'!$N:$N,"&lt;=31.10.2016",'Отчет РПЗ(ПЗ)_ПЗИП'!$AG:$AG,"&gt;0")</f>
        <v>0</v>
      </c>
      <c r="BI66" s="403">
        <f>SUMIFS('Отчет РПЗ(ПЗ)_ПЗИП'!$AG:$AG,'Отчет РПЗ(ПЗ)_ПЗИП'!$D:$D,Справочно!$E31,'Отчет РПЗ(ПЗ)_ПЗИП'!$AO:$AO,10)</f>
        <v>0</v>
      </c>
      <c r="BJ66" s="447" t="str">
        <f t="shared" si="122"/>
        <v>НД</v>
      </c>
      <c r="BK66" s="307" t="str">
        <f t="shared" si="95"/>
        <v>НД</v>
      </c>
      <c r="BL66" s="508">
        <f>SUMIFS('Отчет РПЗ(ПЗ)_ПЗИП'!$W:$W,'Отчет РПЗ(ПЗ)_ПЗИП'!$D:$D,Справочно!$E31,'Отчет РПЗ(ПЗ)_ПЗИП'!$N:$N,"&gt;=01.11.2016",'Отчет РПЗ(ПЗ)_ПЗИП'!$N:$N,"&lt;=30.11.2016",'Отчет РПЗ(ПЗ)_ПЗИП'!$AG:$AG,"&gt;0")</f>
        <v>0</v>
      </c>
      <c r="BM66" s="403">
        <f>SUMIFS('Отчет РПЗ(ПЗ)_ПЗИП'!$AG:$AG,'Отчет РПЗ(ПЗ)_ПЗИП'!$D:$D,Справочно!$E31,'Отчет РПЗ(ПЗ)_ПЗИП'!$AO:$AO,11)</f>
        <v>0</v>
      </c>
      <c r="BN66" s="447" t="str">
        <f t="shared" si="123"/>
        <v>НД</v>
      </c>
      <c r="BO66" s="307" t="str">
        <f t="shared" si="96"/>
        <v>НД</v>
      </c>
      <c r="BP66" s="508">
        <f>SUMIFS('Отчет РПЗ(ПЗ)_ПЗИП'!$W:$W,'Отчет РПЗ(ПЗ)_ПЗИП'!$D:$D,Справочно!$E31,'Отчет РПЗ(ПЗ)_ПЗИП'!$N:$N,"&gt;=01.12.2016",'Отчет РПЗ(ПЗ)_ПЗИП'!$N:$N,"&lt;=31.12.2016",'Отчет РПЗ(ПЗ)_ПЗИП'!$AG:$AG,"&gt;0")</f>
        <v>0</v>
      </c>
      <c r="BQ66" s="403">
        <f>SUMIFS('Отчет РПЗ(ПЗ)_ПЗИП'!$AG:$AG,'Отчет РПЗ(ПЗ)_ПЗИП'!$D:$D,Справочно!$E31,'Отчет РПЗ(ПЗ)_ПЗИП'!$AO:$AO,12)</f>
        <v>0</v>
      </c>
      <c r="BR66" s="447" t="str">
        <f t="shared" si="124"/>
        <v>НД</v>
      </c>
      <c r="BS66" s="309" t="str">
        <f t="shared" si="97"/>
        <v>НД</v>
      </c>
      <c r="BT66" s="503">
        <f t="shared" si="125"/>
        <v>0</v>
      </c>
      <c r="BU66" s="405">
        <f t="shared" si="126"/>
        <v>0</v>
      </c>
      <c r="BV66" s="405" t="str">
        <f t="shared" si="127"/>
        <v>НД</v>
      </c>
      <c r="BW66" s="310" t="str">
        <f t="shared" si="98"/>
        <v>НД</v>
      </c>
    </row>
    <row r="67" spans="2:75" ht="13.5" thickBot="1" x14ac:dyDescent="0.25">
      <c r="B67" s="58" t="str">
        <f>Справочно!E32</f>
        <v>ООО "РТ-Экспо"</v>
      </c>
      <c r="C67" s="96" t="e">
        <f>ПП!B55</f>
        <v>#REF!</v>
      </c>
      <c r="D67" s="491" t="e">
        <f>ПП!C55</f>
        <v>#REF!</v>
      </c>
      <c r="E67" s="516" t="e">
        <f>ПП!D55</f>
        <v>#REF!</v>
      </c>
      <c r="F67" s="356">
        <f>COUNTIFS('Отчет РПЗ(ПЗ)_ПЗИП'!$AG:$AG,"&gt;0",'Отчет РПЗ(ПЗ)_ПЗИП'!$D:$D,Справочно!$E32)</f>
        <v>0</v>
      </c>
      <c r="G67" s="517" t="e">
        <f t="shared" si="99"/>
        <v>#DIV/0!</v>
      </c>
      <c r="H67" s="518">
        <f>SUMIF('Отчет РПЗ(ПЗ)_ПЗИП'!$D:$D,Справочно!$E32,'Отчет РПЗ(ПЗ)_ПЗИП'!$AG:$AG)</f>
        <v>0</v>
      </c>
      <c r="I67" s="519">
        <f t="shared" si="100"/>
        <v>0</v>
      </c>
      <c r="J67" s="296" t="e">
        <f t="shared" si="101"/>
        <v>#DIV/0!</v>
      </c>
      <c r="L67" s="509">
        <f>SUMIFS('Отчет РПЗ(ПЗ)_ПЗИП'!$W:$W,'Отчет РПЗ(ПЗ)_ПЗИП'!$D:$D,Справочно!$E32,'Отчет РПЗ(ПЗ)_ПЗИП'!$N:$N,"&gt;=01.01.2016",'Отчет РПЗ(ПЗ)_ПЗИП'!$N:$N,"&lt;=31.01.2016",'Отчет РПЗ(ПЗ)_ПЗИП'!$AG:$AG,"&gt;0")</f>
        <v>0</v>
      </c>
      <c r="M67" s="394">
        <f>SUMIFS('Отчет РПЗ(ПЗ)_ПЗИП'!$AG:$AG,'Отчет РПЗ(ПЗ)_ПЗИП'!$D:$D,Справочно!$E32,'Отчет РПЗ(ПЗ)_ПЗИП'!$AO:$AO,1)</f>
        <v>0</v>
      </c>
      <c r="N67" s="406" t="str">
        <f t="shared" si="102"/>
        <v>НД</v>
      </c>
      <c r="O67" s="297" t="str">
        <f t="shared" si="103"/>
        <v>НД</v>
      </c>
      <c r="P67" s="504">
        <f>SUMIFS('Отчет РПЗ(ПЗ)_ПЗИП'!$W:$W,'Отчет РПЗ(ПЗ)_ПЗИП'!$D:$D,Справочно!$E32,'Отчет РПЗ(ПЗ)_ПЗИП'!$N:$N,"&gt;=01.02.2016",'Отчет РПЗ(ПЗ)_ПЗИП'!$N:$N,"&lt;=29.02.2016",'Отчет РПЗ(ПЗ)_ПЗИП'!$AG:$AG,"&gt;0")</f>
        <v>0</v>
      </c>
      <c r="Q67" s="394">
        <f>SUMIFS('Отчет РПЗ(ПЗ)_ПЗИП'!$AG:$AG,'Отчет РПЗ(ПЗ)_ПЗИП'!$D:$D,Справочно!$E32,'Отчет РПЗ(ПЗ)_ПЗИП'!$AO:$AO,2)</f>
        <v>0</v>
      </c>
      <c r="R67" s="406" t="str">
        <f t="shared" si="104"/>
        <v>НД</v>
      </c>
      <c r="S67" s="297" t="str">
        <f t="shared" si="105"/>
        <v>НД</v>
      </c>
      <c r="T67" s="504">
        <f>SUMIFS('Отчет РПЗ(ПЗ)_ПЗИП'!$W:$W,'Отчет РПЗ(ПЗ)_ПЗИП'!$D:$D,Справочно!$E32,'Отчет РПЗ(ПЗ)_ПЗИП'!$N:$N,"&gt;=01.03.2016",'Отчет РПЗ(ПЗ)_ПЗИП'!$N:$N,"&lt;=31.03.2016",'Отчет РПЗ(ПЗ)_ПЗИП'!$AG:$AG,"&gt;0")</f>
        <v>0</v>
      </c>
      <c r="U67" s="394">
        <f>SUMIFS('Отчет РПЗ(ПЗ)_ПЗИП'!$AG:$AG,'Отчет РПЗ(ПЗ)_ПЗИП'!$D:$D,Справочно!$E32,'Отчет РПЗ(ПЗ)_ПЗИП'!$AO:$AO,3)</f>
        <v>0</v>
      </c>
      <c r="V67" s="406" t="str">
        <f t="shared" si="106"/>
        <v>НД</v>
      </c>
      <c r="W67" s="297" t="str">
        <f t="shared" si="85"/>
        <v>НД</v>
      </c>
      <c r="X67" s="503">
        <f t="shared" si="107"/>
        <v>0</v>
      </c>
      <c r="Y67" s="396">
        <f t="shared" si="108"/>
        <v>0</v>
      </c>
      <c r="Z67" s="396" t="str">
        <f t="shared" si="109"/>
        <v>НД</v>
      </c>
      <c r="AA67" s="299" t="str">
        <f t="shared" si="86"/>
        <v>НД</v>
      </c>
      <c r="AB67" s="509">
        <f>SUMIFS('Отчет РПЗ(ПЗ)_ПЗИП'!$W:$W,'Отчет РПЗ(ПЗ)_ПЗИП'!$D:$D,Справочно!$E32,'Отчет РПЗ(ПЗ)_ПЗИП'!$N:$N,"&gt;=01.04.2016",'Отчет РПЗ(ПЗ)_ПЗИП'!$N:$N,"&lt;=30.04.2016",'Отчет РПЗ(ПЗ)_ПЗИП'!$AG:$AG,"&gt;0")</f>
        <v>0</v>
      </c>
      <c r="AC67" s="397">
        <f>SUMIFS('Отчет РПЗ(ПЗ)_ПЗИП'!$AG:$AG,'Отчет РПЗ(ПЗ)_ПЗИП'!$D:$D,Справочно!$E32,'Отчет РПЗ(ПЗ)_ПЗИП'!$AO:$AO,4)</f>
        <v>0</v>
      </c>
      <c r="AD67" s="397" t="str">
        <f t="shared" si="110"/>
        <v>НД</v>
      </c>
      <c r="AE67" s="298" t="str">
        <f t="shared" si="87"/>
        <v>НД</v>
      </c>
      <c r="AF67" s="508">
        <f>SUMIFS('Отчет РПЗ(ПЗ)_ПЗИП'!$W:$W,'Отчет РПЗ(ПЗ)_ПЗИП'!$D:$D,Справочно!$E32,'Отчет РПЗ(ПЗ)_ПЗИП'!$N:$N,"&gt;=01.05.2016",'Отчет РПЗ(ПЗ)_ПЗИП'!$N:$N,"&lt;=31.05.2016",'Отчет РПЗ(ПЗ)_ПЗИП'!$AG:$AG,"&gt;0")</f>
        <v>0</v>
      </c>
      <c r="AG67" s="397">
        <f>SUMIFS('Отчет РПЗ(ПЗ)_ПЗИП'!$AG:$AG,'Отчет РПЗ(ПЗ)_ПЗИП'!$D:$D,Справочно!$E32,'Отчет РПЗ(ПЗ)_ПЗИП'!$AO:$AO,5)</f>
        <v>0</v>
      </c>
      <c r="AH67" s="397" t="str">
        <f t="shared" si="111"/>
        <v>НД</v>
      </c>
      <c r="AI67" s="298" t="str">
        <f t="shared" si="88"/>
        <v>НД</v>
      </c>
      <c r="AJ67" s="508">
        <f>SUMIFS('Отчет РПЗ(ПЗ)_ПЗИП'!$W:$W,'Отчет РПЗ(ПЗ)_ПЗИП'!$D:$D,Справочно!$E32,'Отчет РПЗ(ПЗ)_ПЗИП'!$N:$N,"&gt;=01.06.2016",'Отчет РПЗ(ПЗ)_ПЗИП'!$N:$N,"&lt;=30.06.2016",'Отчет РПЗ(ПЗ)_ПЗИП'!$AG:$AG,"&gt;0")</f>
        <v>0</v>
      </c>
      <c r="AK67" s="397">
        <f>SUMIFS('Отчет РПЗ(ПЗ)_ПЗИП'!$AG:$AG,'Отчет РПЗ(ПЗ)_ПЗИП'!$D:$D,Справочно!$E32,'Отчет РПЗ(ПЗ)_ПЗИП'!$AO:$AO,6)</f>
        <v>0</v>
      </c>
      <c r="AL67" s="397" t="str">
        <f t="shared" si="112"/>
        <v>НД</v>
      </c>
      <c r="AM67" s="298" t="str">
        <f t="shared" si="89"/>
        <v>НД</v>
      </c>
      <c r="AN67" s="503">
        <f t="shared" si="113"/>
        <v>0</v>
      </c>
      <c r="AO67" s="399">
        <f t="shared" si="114"/>
        <v>0</v>
      </c>
      <c r="AP67" s="399" t="str">
        <f t="shared" si="115"/>
        <v>НД</v>
      </c>
      <c r="AQ67" s="301" t="str">
        <f t="shared" si="90"/>
        <v>НД</v>
      </c>
      <c r="AR67" s="509">
        <f>SUMIFS('Отчет РПЗ(ПЗ)_ПЗИП'!$W:$W,'Отчет РПЗ(ПЗ)_ПЗИП'!$D:$D,Справочно!$E32,'Отчет РПЗ(ПЗ)_ПЗИП'!$N:$N,"&gt;=01.07.2016",'Отчет РПЗ(ПЗ)_ПЗИП'!$N:$N,"&lt;=31.07.2016",'Отчет РПЗ(ПЗ)_ПЗИП'!$AG:$AG,"&gt;0")</f>
        <v>0</v>
      </c>
      <c r="AS67" s="400">
        <f>SUMIFS('Отчет РПЗ(ПЗ)_ПЗИП'!$AG:$AG,'Отчет РПЗ(ПЗ)_ПЗИП'!$D:$D,Справочно!$E32,'Отчет РПЗ(ПЗ)_ПЗИП'!$AO:$AO,7)</f>
        <v>0</v>
      </c>
      <c r="AT67" s="445" t="str">
        <f t="shared" si="116"/>
        <v>НД</v>
      </c>
      <c r="AU67" s="303" t="str">
        <f t="shared" si="91"/>
        <v>НД</v>
      </c>
      <c r="AV67" s="504">
        <f>SUMIFS('Отчет РПЗ(ПЗ)_ПЗИП'!$W:$W,'Отчет РПЗ(ПЗ)_ПЗИП'!$D:$D,Справочно!$E32,'Отчет РПЗ(ПЗ)_ПЗИП'!$N:$N,"&gt;=01.08.2016",'Отчет РПЗ(ПЗ)_ПЗИП'!$N:$N,"&lt;=31.08.2016",'Отчет РПЗ(ПЗ)_ПЗИП'!$AG:$AG,"&gt;0")</f>
        <v>0</v>
      </c>
      <c r="AW67" s="400">
        <f>SUMIFS('Отчет РПЗ(ПЗ)_ПЗИП'!$AG:$AG,'Отчет РПЗ(ПЗ)_ПЗИП'!$D:$D,Справочно!$E32,'Отчет РПЗ(ПЗ)_ПЗИП'!$AO:$AO,8)</f>
        <v>0</v>
      </c>
      <c r="AX67" s="445" t="str">
        <f t="shared" si="117"/>
        <v>НД</v>
      </c>
      <c r="AY67" s="303" t="str">
        <f t="shared" si="92"/>
        <v>НД</v>
      </c>
      <c r="AZ67" s="504">
        <f>SUMIFS('Отчет РПЗ(ПЗ)_ПЗИП'!$W:$W,'Отчет РПЗ(ПЗ)_ПЗИП'!$D:$D,Справочно!$E32,'Отчет РПЗ(ПЗ)_ПЗИП'!$N:$N,"&gt;=01.09.2016",'Отчет РПЗ(ПЗ)_ПЗИП'!$N:$N,"&lt;=30.09.2016",'Отчет РПЗ(ПЗ)_ПЗИП'!$AG:$AG,"&gt;0")</f>
        <v>0</v>
      </c>
      <c r="BA67" s="400">
        <f>SUMIFS('Отчет РПЗ(ПЗ)_ПЗИП'!$AG:$AG,'Отчет РПЗ(ПЗ)_ПЗИП'!$D:$D,Справочно!$E32,'Отчет РПЗ(ПЗ)_ПЗИП'!$AO:$AO,9)</f>
        <v>0</v>
      </c>
      <c r="BB67" s="445" t="str">
        <f t="shared" si="118"/>
        <v>НД</v>
      </c>
      <c r="BC67" s="303" t="str">
        <f t="shared" si="93"/>
        <v>НД</v>
      </c>
      <c r="BD67" s="503">
        <f t="shared" si="119"/>
        <v>0</v>
      </c>
      <c r="BE67" s="402">
        <f t="shared" si="120"/>
        <v>0</v>
      </c>
      <c r="BF67" s="402" t="str">
        <f t="shared" si="121"/>
        <v>НД</v>
      </c>
      <c r="BG67" s="305" t="str">
        <f t="shared" si="94"/>
        <v>НД</v>
      </c>
      <c r="BH67" s="493">
        <f>SUMIFS('Отчет РПЗ(ПЗ)_ПЗИП'!$W:$W,'Отчет РПЗ(ПЗ)_ПЗИП'!$D:$D,Справочно!$E32,'Отчет РПЗ(ПЗ)_ПЗИП'!$N:$N,"&gt;=01.10.2016",'Отчет РПЗ(ПЗ)_ПЗИП'!$N:$N,"&lt;=31.10.2016",'Отчет РПЗ(ПЗ)_ПЗИП'!$AG:$AG,"&gt;0")</f>
        <v>0</v>
      </c>
      <c r="BI67" s="403">
        <f>SUMIFS('Отчет РПЗ(ПЗ)_ПЗИП'!$AG:$AG,'Отчет РПЗ(ПЗ)_ПЗИП'!$D:$D,Справочно!$E32,'Отчет РПЗ(ПЗ)_ПЗИП'!$AO:$AO,10)</f>
        <v>0</v>
      </c>
      <c r="BJ67" s="447" t="str">
        <f t="shared" si="122"/>
        <v>НД</v>
      </c>
      <c r="BK67" s="307" t="str">
        <f t="shared" si="95"/>
        <v>НД</v>
      </c>
      <c r="BL67" s="508">
        <f>SUMIFS('Отчет РПЗ(ПЗ)_ПЗИП'!$W:$W,'Отчет РПЗ(ПЗ)_ПЗИП'!$D:$D,Справочно!$E32,'Отчет РПЗ(ПЗ)_ПЗИП'!$N:$N,"&gt;=01.11.2016",'Отчет РПЗ(ПЗ)_ПЗИП'!$N:$N,"&lt;=30.11.2016",'Отчет РПЗ(ПЗ)_ПЗИП'!$AG:$AG,"&gt;0")</f>
        <v>0</v>
      </c>
      <c r="BM67" s="403">
        <f>SUMIFS('Отчет РПЗ(ПЗ)_ПЗИП'!$AG:$AG,'Отчет РПЗ(ПЗ)_ПЗИП'!$D:$D,Справочно!$E32,'Отчет РПЗ(ПЗ)_ПЗИП'!$AO:$AO,11)</f>
        <v>0</v>
      </c>
      <c r="BN67" s="447" t="str">
        <f t="shared" si="123"/>
        <v>НД</v>
      </c>
      <c r="BO67" s="307" t="str">
        <f t="shared" si="96"/>
        <v>НД</v>
      </c>
      <c r="BP67" s="508">
        <f>SUMIFS('Отчет РПЗ(ПЗ)_ПЗИП'!$W:$W,'Отчет РПЗ(ПЗ)_ПЗИП'!$D:$D,Справочно!$E32,'Отчет РПЗ(ПЗ)_ПЗИП'!$N:$N,"&gt;=01.12.2016",'Отчет РПЗ(ПЗ)_ПЗИП'!$N:$N,"&lt;=31.12.2016",'Отчет РПЗ(ПЗ)_ПЗИП'!$AG:$AG,"&gt;0")</f>
        <v>0</v>
      </c>
      <c r="BQ67" s="403">
        <f>SUMIFS('Отчет РПЗ(ПЗ)_ПЗИП'!$AG:$AG,'Отчет РПЗ(ПЗ)_ПЗИП'!$D:$D,Справочно!$E32,'Отчет РПЗ(ПЗ)_ПЗИП'!$AO:$AO,12)</f>
        <v>0</v>
      </c>
      <c r="BR67" s="447" t="str">
        <f t="shared" si="124"/>
        <v>НД</v>
      </c>
      <c r="BS67" s="309" t="str">
        <f t="shared" si="97"/>
        <v>НД</v>
      </c>
      <c r="BT67" s="503">
        <f t="shared" si="125"/>
        <v>0</v>
      </c>
      <c r="BU67" s="405">
        <f t="shared" si="126"/>
        <v>0</v>
      </c>
      <c r="BV67" s="405" t="str">
        <f t="shared" si="127"/>
        <v>НД</v>
      </c>
      <c r="BW67" s="310" t="str">
        <f t="shared" si="98"/>
        <v>НД</v>
      </c>
    </row>
    <row r="68" spans="2:75" ht="13.5" thickBot="1" x14ac:dyDescent="0.25">
      <c r="B68" s="58" t="str">
        <f>Справочно!E33</f>
        <v>ООО "РТ-Страхование"</v>
      </c>
      <c r="C68" s="96" t="e">
        <f>ПП!B56</f>
        <v>#REF!</v>
      </c>
      <c r="D68" s="491" t="e">
        <f>ПП!C56</f>
        <v>#REF!</v>
      </c>
      <c r="E68" s="516" t="e">
        <f>ПП!D56</f>
        <v>#REF!</v>
      </c>
      <c r="F68" s="356">
        <f>COUNTIFS('Отчет РПЗ(ПЗ)_ПЗИП'!$AG:$AG,"&gt;0",'Отчет РПЗ(ПЗ)_ПЗИП'!$D:$D,Справочно!$E33)</f>
        <v>0</v>
      </c>
      <c r="G68" s="517" t="e">
        <f t="shared" si="99"/>
        <v>#DIV/0!</v>
      </c>
      <c r="H68" s="518">
        <f>SUMIF('Отчет РПЗ(ПЗ)_ПЗИП'!$D:$D,Справочно!$E33,'Отчет РПЗ(ПЗ)_ПЗИП'!$AG:$AG)</f>
        <v>0</v>
      </c>
      <c r="I68" s="519">
        <f t="shared" si="100"/>
        <v>0</v>
      </c>
      <c r="J68" s="296" t="e">
        <f t="shared" si="101"/>
        <v>#DIV/0!</v>
      </c>
      <c r="L68" s="509">
        <f>SUMIFS('Отчет РПЗ(ПЗ)_ПЗИП'!$W:$W,'Отчет РПЗ(ПЗ)_ПЗИП'!$D:$D,Справочно!$E33,'Отчет РПЗ(ПЗ)_ПЗИП'!$N:$N,"&gt;=01.01.2016",'Отчет РПЗ(ПЗ)_ПЗИП'!$N:$N,"&lt;=31.01.2016",'Отчет РПЗ(ПЗ)_ПЗИП'!$AG:$AG,"&gt;0")</f>
        <v>0</v>
      </c>
      <c r="M68" s="394">
        <f>SUMIFS('Отчет РПЗ(ПЗ)_ПЗИП'!$AG:$AG,'Отчет РПЗ(ПЗ)_ПЗИП'!$D:$D,Справочно!$E33,'Отчет РПЗ(ПЗ)_ПЗИП'!$AO:$AO,1)</f>
        <v>0</v>
      </c>
      <c r="N68" s="406" t="str">
        <f t="shared" si="102"/>
        <v>НД</v>
      </c>
      <c r="O68" s="297" t="str">
        <f t="shared" si="103"/>
        <v>НД</v>
      </c>
      <c r="P68" s="504">
        <f>SUMIFS('Отчет РПЗ(ПЗ)_ПЗИП'!$W:$W,'Отчет РПЗ(ПЗ)_ПЗИП'!$D:$D,Справочно!$E33,'Отчет РПЗ(ПЗ)_ПЗИП'!$N:$N,"&gt;=01.02.2016",'Отчет РПЗ(ПЗ)_ПЗИП'!$N:$N,"&lt;=29.02.2016",'Отчет РПЗ(ПЗ)_ПЗИП'!$AG:$AG,"&gt;0")</f>
        <v>0</v>
      </c>
      <c r="Q68" s="394">
        <f>SUMIFS('Отчет РПЗ(ПЗ)_ПЗИП'!$AG:$AG,'Отчет РПЗ(ПЗ)_ПЗИП'!$D:$D,Справочно!$E33,'Отчет РПЗ(ПЗ)_ПЗИП'!$AO:$AO,2)</f>
        <v>0</v>
      </c>
      <c r="R68" s="406" t="str">
        <f t="shared" si="104"/>
        <v>НД</v>
      </c>
      <c r="S68" s="297" t="str">
        <f t="shared" si="105"/>
        <v>НД</v>
      </c>
      <c r="T68" s="504">
        <f>SUMIFS('Отчет РПЗ(ПЗ)_ПЗИП'!$W:$W,'Отчет РПЗ(ПЗ)_ПЗИП'!$D:$D,Справочно!$E33,'Отчет РПЗ(ПЗ)_ПЗИП'!$N:$N,"&gt;=01.03.2016",'Отчет РПЗ(ПЗ)_ПЗИП'!$N:$N,"&lt;=31.03.2016",'Отчет РПЗ(ПЗ)_ПЗИП'!$AG:$AG,"&gt;0")</f>
        <v>0</v>
      </c>
      <c r="U68" s="394">
        <f>SUMIFS('Отчет РПЗ(ПЗ)_ПЗИП'!$AG:$AG,'Отчет РПЗ(ПЗ)_ПЗИП'!$D:$D,Справочно!$E33,'Отчет РПЗ(ПЗ)_ПЗИП'!$AO:$AO,3)</f>
        <v>0</v>
      </c>
      <c r="V68" s="406" t="str">
        <f t="shared" si="106"/>
        <v>НД</v>
      </c>
      <c r="W68" s="297" t="str">
        <f t="shared" si="85"/>
        <v>НД</v>
      </c>
      <c r="X68" s="503">
        <f t="shared" si="107"/>
        <v>0</v>
      </c>
      <c r="Y68" s="396">
        <f t="shared" si="108"/>
        <v>0</v>
      </c>
      <c r="Z68" s="396" t="str">
        <f t="shared" si="109"/>
        <v>НД</v>
      </c>
      <c r="AA68" s="299" t="str">
        <f t="shared" si="86"/>
        <v>НД</v>
      </c>
      <c r="AB68" s="509">
        <f>SUMIFS('Отчет РПЗ(ПЗ)_ПЗИП'!$W:$W,'Отчет РПЗ(ПЗ)_ПЗИП'!$D:$D,Справочно!$E33,'Отчет РПЗ(ПЗ)_ПЗИП'!$N:$N,"&gt;=01.04.2016",'Отчет РПЗ(ПЗ)_ПЗИП'!$N:$N,"&lt;=30.04.2016",'Отчет РПЗ(ПЗ)_ПЗИП'!$AG:$AG,"&gt;0")</f>
        <v>0</v>
      </c>
      <c r="AC68" s="397">
        <f>SUMIFS('Отчет РПЗ(ПЗ)_ПЗИП'!$AG:$AG,'Отчет РПЗ(ПЗ)_ПЗИП'!$D:$D,Справочно!$E33,'Отчет РПЗ(ПЗ)_ПЗИП'!$AO:$AO,4)</f>
        <v>0</v>
      </c>
      <c r="AD68" s="397" t="str">
        <f t="shared" si="110"/>
        <v>НД</v>
      </c>
      <c r="AE68" s="298" t="str">
        <f t="shared" si="87"/>
        <v>НД</v>
      </c>
      <c r="AF68" s="508">
        <f>SUMIFS('Отчет РПЗ(ПЗ)_ПЗИП'!$W:$W,'Отчет РПЗ(ПЗ)_ПЗИП'!$D:$D,Справочно!$E33,'Отчет РПЗ(ПЗ)_ПЗИП'!$N:$N,"&gt;=01.05.2016",'Отчет РПЗ(ПЗ)_ПЗИП'!$N:$N,"&lt;=31.05.2016",'Отчет РПЗ(ПЗ)_ПЗИП'!$AG:$AG,"&gt;0")</f>
        <v>0</v>
      </c>
      <c r="AG68" s="397">
        <f>SUMIFS('Отчет РПЗ(ПЗ)_ПЗИП'!$AG:$AG,'Отчет РПЗ(ПЗ)_ПЗИП'!$D:$D,Справочно!$E33,'Отчет РПЗ(ПЗ)_ПЗИП'!$AO:$AO,5)</f>
        <v>0</v>
      </c>
      <c r="AH68" s="397" t="str">
        <f t="shared" si="111"/>
        <v>НД</v>
      </c>
      <c r="AI68" s="298" t="str">
        <f t="shared" si="88"/>
        <v>НД</v>
      </c>
      <c r="AJ68" s="508">
        <f>SUMIFS('Отчет РПЗ(ПЗ)_ПЗИП'!$W:$W,'Отчет РПЗ(ПЗ)_ПЗИП'!$D:$D,Справочно!$E33,'Отчет РПЗ(ПЗ)_ПЗИП'!$N:$N,"&gt;=01.06.2016",'Отчет РПЗ(ПЗ)_ПЗИП'!$N:$N,"&lt;=30.06.2016",'Отчет РПЗ(ПЗ)_ПЗИП'!$AG:$AG,"&gt;0")</f>
        <v>0</v>
      </c>
      <c r="AK68" s="397">
        <f>SUMIFS('Отчет РПЗ(ПЗ)_ПЗИП'!$AG:$AG,'Отчет РПЗ(ПЗ)_ПЗИП'!$D:$D,Справочно!$E33,'Отчет РПЗ(ПЗ)_ПЗИП'!$AO:$AO,6)</f>
        <v>0</v>
      </c>
      <c r="AL68" s="397" t="str">
        <f t="shared" si="112"/>
        <v>НД</v>
      </c>
      <c r="AM68" s="298" t="str">
        <f t="shared" si="89"/>
        <v>НД</v>
      </c>
      <c r="AN68" s="503">
        <f t="shared" si="113"/>
        <v>0</v>
      </c>
      <c r="AO68" s="399">
        <f t="shared" si="114"/>
        <v>0</v>
      </c>
      <c r="AP68" s="399" t="str">
        <f t="shared" si="115"/>
        <v>НД</v>
      </c>
      <c r="AQ68" s="301" t="str">
        <f t="shared" si="90"/>
        <v>НД</v>
      </c>
      <c r="AR68" s="509">
        <f>SUMIFS('Отчет РПЗ(ПЗ)_ПЗИП'!$W:$W,'Отчет РПЗ(ПЗ)_ПЗИП'!$D:$D,Справочно!$E33,'Отчет РПЗ(ПЗ)_ПЗИП'!$N:$N,"&gt;=01.07.2016",'Отчет РПЗ(ПЗ)_ПЗИП'!$N:$N,"&lt;=31.07.2016",'Отчет РПЗ(ПЗ)_ПЗИП'!$AG:$AG,"&gt;0")</f>
        <v>0</v>
      </c>
      <c r="AS68" s="400">
        <f>SUMIFS('Отчет РПЗ(ПЗ)_ПЗИП'!$AG:$AG,'Отчет РПЗ(ПЗ)_ПЗИП'!$D:$D,Справочно!$E33,'Отчет РПЗ(ПЗ)_ПЗИП'!$AO:$AO,7)</f>
        <v>0</v>
      </c>
      <c r="AT68" s="445" t="str">
        <f t="shared" si="116"/>
        <v>НД</v>
      </c>
      <c r="AU68" s="303" t="str">
        <f t="shared" si="91"/>
        <v>НД</v>
      </c>
      <c r="AV68" s="504">
        <f>SUMIFS('Отчет РПЗ(ПЗ)_ПЗИП'!$W:$W,'Отчет РПЗ(ПЗ)_ПЗИП'!$D:$D,Справочно!$E33,'Отчет РПЗ(ПЗ)_ПЗИП'!$N:$N,"&gt;=01.08.2016",'Отчет РПЗ(ПЗ)_ПЗИП'!$N:$N,"&lt;=31.08.2016",'Отчет РПЗ(ПЗ)_ПЗИП'!$AG:$AG,"&gt;0")</f>
        <v>0</v>
      </c>
      <c r="AW68" s="400">
        <f>SUMIFS('Отчет РПЗ(ПЗ)_ПЗИП'!$AG:$AG,'Отчет РПЗ(ПЗ)_ПЗИП'!$D:$D,Справочно!$E33,'Отчет РПЗ(ПЗ)_ПЗИП'!$AO:$AO,8)</f>
        <v>0</v>
      </c>
      <c r="AX68" s="445" t="str">
        <f t="shared" si="117"/>
        <v>НД</v>
      </c>
      <c r="AY68" s="303" t="str">
        <f t="shared" si="92"/>
        <v>НД</v>
      </c>
      <c r="AZ68" s="504">
        <f>SUMIFS('Отчет РПЗ(ПЗ)_ПЗИП'!$W:$W,'Отчет РПЗ(ПЗ)_ПЗИП'!$D:$D,Справочно!$E33,'Отчет РПЗ(ПЗ)_ПЗИП'!$N:$N,"&gt;=01.09.2016",'Отчет РПЗ(ПЗ)_ПЗИП'!$N:$N,"&lt;=30.09.2016",'Отчет РПЗ(ПЗ)_ПЗИП'!$AG:$AG,"&gt;0")</f>
        <v>0</v>
      </c>
      <c r="BA68" s="400">
        <f>SUMIFS('Отчет РПЗ(ПЗ)_ПЗИП'!$AG:$AG,'Отчет РПЗ(ПЗ)_ПЗИП'!$D:$D,Справочно!$E33,'Отчет РПЗ(ПЗ)_ПЗИП'!$AO:$AO,9)</f>
        <v>0</v>
      </c>
      <c r="BB68" s="445" t="str">
        <f t="shared" si="118"/>
        <v>НД</v>
      </c>
      <c r="BC68" s="303" t="str">
        <f t="shared" si="93"/>
        <v>НД</v>
      </c>
      <c r="BD68" s="503">
        <f t="shared" si="119"/>
        <v>0</v>
      </c>
      <c r="BE68" s="402">
        <f t="shared" si="120"/>
        <v>0</v>
      </c>
      <c r="BF68" s="402" t="str">
        <f t="shared" si="121"/>
        <v>НД</v>
      </c>
      <c r="BG68" s="305" t="str">
        <f t="shared" si="94"/>
        <v>НД</v>
      </c>
      <c r="BH68" s="493">
        <f>SUMIFS('Отчет РПЗ(ПЗ)_ПЗИП'!$W:$W,'Отчет РПЗ(ПЗ)_ПЗИП'!$D:$D,Справочно!$E33,'Отчет РПЗ(ПЗ)_ПЗИП'!$N:$N,"&gt;=01.10.2016",'Отчет РПЗ(ПЗ)_ПЗИП'!$N:$N,"&lt;=31.10.2016",'Отчет РПЗ(ПЗ)_ПЗИП'!$AG:$AG,"&gt;0")</f>
        <v>0</v>
      </c>
      <c r="BI68" s="403">
        <f>SUMIFS('Отчет РПЗ(ПЗ)_ПЗИП'!$AG:$AG,'Отчет РПЗ(ПЗ)_ПЗИП'!$D:$D,Справочно!$E33,'Отчет РПЗ(ПЗ)_ПЗИП'!$AO:$AO,10)</f>
        <v>0</v>
      </c>
      <c r="BJ68" s="447" t="str">
        <f t="shared" si="122"/>
        <v>НД</v>
      </c>
      <c r="BK68" s="307" t="str">
        <f t="shared" si="95"/>
        <v>НД</v>
      </c>
      <c r="BL68" s="508">
        <f>SUMIFS('Отчет РПЗ(ПЗ)_ПЗИП'!$W:$W,'Отчет РПЗ(ПЗ)_ПЗИП'!$D:$D,Справочно!$E33,'Отчет РПЗ(ПЗ)_ПЗИП'!$N:$N,"&gt;=01.11.2016",'Отчет РПЗ(ПЗ)_ПЗИП'!$N:$N,"&lt;=30.11.2016",'Отчет РПЗ(ПЗ)_ПЗИП'!$AG:$AG,"&gt;0")</f>
        <v>0</v>
      </c>
      <c r="BM68" s="403">
        <f>SUMIFS('Отчет РПЗ(ПЗ)_ПЗИП'!$AG:$AG,'Отчет РПЗ(ПЗ)_ПЗИП'!$D:$D,Справочно!$E33,'Отчет РПЗ(ПЗ)_ПЗИП'!$AO:$AO,11)</f>
        <v>0</v>
      </c>
      <c r="BN68" s="447" t="str">
        <f t="shared" si="123"/>
        <v>НД</v>
      </c>
      <c r="BO68" s="307" t="str">
        <f t="shared" si="96"/>
        <v>НД</v>
      </c>
      <c r="BP68" s="508">
        <f>SUMIFS('Отчет РПЗ(ПЗ)_ПЗИП'!$W:$W,'Отчет РПЗ(ПЗ)_ПЗИП'!$D:$D,Справочно!$E33,'Отчет РПЗ(ПЗ)_ПЗИП'!$N:$N,"&gt;=01.12.2016",'Отчет РПЗ(ПЗ)_ПЗИП'!$N:$N,"&lt;=31.12.2016",'Отчет РПЗ(ПЗ)_ПЗИП'!$AG:$AG,"&gt;0")</f>
        <v>0</v>
      </c>
      <c r="BQ68" s="403">
        <f>SUMIFS('Отчет РПЗ(ПЗ)_ПЗИП'!$AG:$AG,'Отчет РПЗ(ПЗ)_ПЗИП'!$D:$D,Справочно!$E33,'Отчет РПЗ(ПЗ)_ПЗИП'!$AO:$AO,12)</f>
        <v>0</v>
      </c>
      <c r="BR68" s="447" t="str">
        <f t="shared" si="124"/>
        <v>НД</v>
      </c>
      <c r="BS68" s="309" t="str">
        <f t="shared" si="97"/>
        <v>НД</v>
      </c>
      <c r="BT68" s="503">
        <f t="shared" si="125"/>
        <v>0</v>
      </c>
      <c r="BU68" s="405">
        <f t="shared" si="126"/>
        <v>0</v>
      </c>
      <c r="BV68" s="405" t="str">
        <f t="shared" si="127"/>
        <v>НД</v>
      </c>
      <c r="BW68" s="310" t="str">
        <f t="shared" si="98"/>
        <v>НД</v>
      </c>
    </row>
    <row r="69" spans="2:75" ht="13.5" thickBot="1" x14ac:dyDescent="0.25">
      <c r="B69" s="58" t="str">
        <f>Справочно!E34</f>
        <v>АО "Концерн Радиоэлектронные технологии"</v>
      </c>
      <c r="C69" s="96" t="e">
        <f>ПП!B57</f>
        <v>#REF!</v>
      </c>
      <c r="D69" s="491" t="e">
        <f>ПП!C57</f>
        <v>#REF!</v>
      </c>
      <c r="E69" s="516" t="e">
        <f>ПП!D57</f>
        <v>#REF!</v>
      </c>
      <c r="F69" s="356">
        <f>COUNTIFS('Отчет РПЗ(ПЗ)_ПЗИП'!$AG:$AG,"&gt;0",'Отчет РПЗ(ПЗ)_ПЗИП'!$D:$D,Справочно!$E34)</f>
        <v>0</v>
      </c>
      <c r="G69" s="517" t="e">
        <f t="shared" si="99"/>
        <v>#DIV/0!</v>
      </c>
      <c r="H69" s="518">
        <f>SUMIF('Отчет РПЗ(ПЗ)_ПЗИП'!$D:$D,Справочно!$E34,'Отчет РПЗ(ПЗ)_ПЗИП'!$AG:$AG)</f>
        <v>0</v>
      </c>
      <c r="I69" s="519">
        <f t="shared" si="100"/>
        <v>0</v>
      </c>
      <c r="J69" s="296" t="e">
        <f t="shared" si="101"/>
        <v>#DIV/0!</v>
      </c>
      <c r="L69" s="509">
        <f>SUMIFS('Отчет РПЗ(ПЗ)_ПЗИП'!$W:$W,'Отчет РПЗ(ПЗ)_ПЗИП'!$D:$D,Справочно!$E34,'Отчет РПЗ(ПЗ)_ПЗИП'!$N:$N,"&gt;=01.01.2016",'Отчет РПЗ(ПЗ)_ПЗИП'!$N:$N,"&lt;=31.01.2016",'Отчет РПЗ(ПЗ)_ПЗИП'!$AG:$AG,"&gt;0")</f>
        <v>0</v>
      </c>
      <c r="M69" s="394">
        <f>SUMIFS('Отчет РПЗ(ПЗ)_ПЗИП'!$AG:$AG,'Отчет РПЗ(ПЗ)_ПЗИП'!$D:$D,Справочно!$E34,'Отчет РПЗ(ПЗ)_ПЗИП'!$AO:$AO,1)</f>
        <v>0</v>
      </c>
      <c r="N69" s="406" t="str">
        <f t="shared" si="102"/>
        <v>НД</v>
      </c>
      <c r="O69" s="297" t="str">
        <f t="shared" si="103"/>
        <v>НД</v>
      </c>
      <c r="P69" s="504">
        <f>SUMIFS('Отчет РПЗ(ПЗ)_ПЗИП'!$W:$W,'Отчет РПЗ(ПЗ)_ПЗИП'!$D:$D,Справочно!$E34,'Отчет РПЗ(ПЗ)_ПЗИП'!$N:$N,"&gt;=01.02.2016",'Отчет РПЗ(ПЗ)_ПЗИП'!$N:$N,"&lt;=29.02.2016",'Отчет РПЗ(ПЗ)_ПЗИП'!$AG:$AG,"&gt;0")</f>
        <v>0</v>
      </c>
      <c r="Q69" s="394">
        <f>SUMIFS('Отчет РПЗ(ПЗ)_ПЗИП'!$AG:$AG,'Отчет РПЗ(ПЗ)_ПЗИП'!$D:$D,Справочно!$E34,'Отчет РПЗ(ПЗ)_ПЗИП'!$AO:$AO,2)</f>
        <v>0</v>
      </c>
      <c r="R69" s="406" t="str">
        <f t="shared" si="104"/>
        <v>НД</v>
      </c>
      <c r="S69" s="297" t="str">
        <f t="shared" si="105"/>
        <v>НД</v>
      </c>
      <c r="T69" s="504">
        <f>SUMIFS('Отчет РПЗ(ПЗ)_ПЗИП'!$W:$W,'Отчет РПЗ(ПЗ)_ПЗИП'!$D:$D,Справочно!$E34,'Отчет РПЗ(ПЗ)_ПЗИП'!$N:$N,"&gt;=01.03.2016",'Отчет РПЗ(ПЗ)_ПЗИП'!$N:$N,"&lt;=31.03.2016",'Отчет РПЗ(ПЗ)_ПЗИП'!$AG:$AG,"&gt;0")</f>
        <v>0</v>
      </c>
      <c r="U69" s="394">
        <f>SUMIFS('Отчет РПЗ(ПЗ)_ПЗИП'!$AG:$AG,'Отчет РПЗ(ПЗ)_ПЗИП'!$D:$D,Справочно!$E34,'Отчет РПЗ(ПЗ)_ПЗИП'!$AO:$AO,3)</f>
        <v>0</v>
      </c>
      <c r="V69" s="406" t="str">
        <f t="shared" si="106"/>
        <v>НД</v>
      </c>
      <c r="W69" s="297" t="str">
        <f t="shared" si="85"/>
        <v>НД</v>
      </c>
      <c r="X69" s="503">
        <f t="shared" si="107"/>
        <v>0</v>
      </c>
      <c r="Y69" s="396">
        <f t="shared" si="108"/>
        <v>0</v>
      </c>
      <c r="Z69" s="396" t="str">
        <f t="shared" si="109"/>
        <v>НД</v>
      </c>
      <c r="AA69" s="299" t="str">
        <f t="shared" si="86"/>
        <v>НД</v>
      </c>
      <c r="AB69" s="509">
        <f>SUMIFS('Отчет РПЗ(ПЗ)_ПЗИП'!$W:$W,'Отчет РПЗ(ПЗ)_ПЗИП'!$D:$D,Справочно!$E34,'Отчет РПЗ(ПЗ)_ПЗИП'!$N:$N,"&gt;=01.04.2016",'Отчет РПЗ(ПЗ)_ПЗИП'!$N:$N,"&lt;=30.04.2016",'Отчет РПЗ(ПЗ)_ПЗИП'!$AG:$AG,"&gt;0")</f>
        <v>0</v>
      </c>
      <c r="AC69" s="397">
        <f>SUMIFS('Отчет РПЗ(ПЗ)_ПЗИП'!$AG:$AG,'Отчет РПЗ(ПЗ)_ПЗИП'!$D:$D,Справочно!$E34,'Отчет РПЗ(ПЗ)_ПЗИП'!$AO:$AO,4)</f>
        <v>0</v>
      </c>
      <c r="AD69" s="397" t="str">
        <f t="shared" si="110"/>
        <v>НД</v>
      </c>
      <c r="AE69" s="298" t="str">
        <f t="shared" si="87"/>
        <v>НД</v>
      </c>
      <c r="AF69" s="508">
        <f>SUMIFS('Отчет РПЗ(ПЗ)_ПЗИП'!$W:$W,'Отчет РПЗ(ПЗ)_ПЗИП'!$D:$D,Справочно!$E34,'Отчет РПЗ(ПЗ)_ПЗИП'!$N:$N,"&gt;=01.05.2016",'Отчет РПЗ(ПЗ)_ПЗИП'!$N:$N,"&lt;=31.05.2016",'Отчет РПЗ(ПЗ)_ПЗИП'!$AG:$AG,"&gt;0")</f>
        <v>0</v>
      </c>
      <c r="AG69" s="397">
        <f>SUMIFS('Отчет РПЗ(ПЗ)_ПЗИП'!$AG:$AG,'Отчет РПЗ(ПЗ)_ПЗИП'!$D:$D,Справочно!$E34,'Отчет РПЗ(ПЗ)_ПЗИП'!$AO:$AO,5)</f>
        <v>0</v>
      </c>
      <c r="AH69" s="397" t="str">
        <f t="shared" si="111"/>
        <v>НД</v>
      </c>
      <c r="AI69" s="298" t="str">
        <f t="shared" si="88"/>
        <v>НД</v>
      </c>
      <c r="AJ69" s="508">
        <f>SUMIFS('Отчет РПЗ(ПЗ)_ПЗИП'!$W:$W,'Отчет РПЗ(ПЗ)_ПЗИП'!$D:$D,Справочно!$E34,'Отчет РПЗ(ПЗ)_ПЗИП'!$N:$N,"&gt;=01.06.2016",'Отчет РПЗ(ПЗ)_ПЗИП'!$N:$N,"&lt;=30.06.2016",'Отчет РПЗ(ПЗ)_ПЗИП'!$AG:$AG,"&gt;0")</f>
        <v>0</v>
      </c>
      <c r="AK69" s="397">
        <f>SUMIFS('Отчет РПЗ(ПЗ)_ПЗИП'!$AG:$AG,'Отчет РПЗ(ПЗ)_ПЗИП'!$D:$D,Справочно!$E34,'Отчет РПЗ(ПЗ)_ПЗИП'!$AO:$AO,6)</f>
        <v>0</v>
      </c>
      <c r="AL69" s="397" t="str">
        <f t="shared" si="112"/>
        <v>НД</v>
      </c>
      <c r="AM69" s="298" t="str">
        <f t="shared" si="89"/>
        <v>НД</v>
      </c>
      <c r="AN69" s="503">
        <f t="shared" si="113"/>
        <v>0</v>
      </c>
      <c r="AO69" s="399">
        <f t="shared" si="114"/>
        <v>0</v>
      </c>
      <c r="AP69" s="399" t="str">
        <f t="shared" si="115"/>
        <v>НД</v>
      </c>
      <c r="AQ69" s="301" t="str">
        <f t="shared" si="90"/>
        <v>НД</v>
      </c>
      <c r="AR69" s="509">
        <f>SUMIFS('Отчет РПЗ(ПЗ)_ПЗИП'!$W:$W,'Отчет РПЗ(ПЗ)_ПЗИП'!$D:$D,Справочно!$E34,'Отчет РПЗ(ПЗ)_ПЗИП'!$N:$N,"&gt;=01.07.2016",'Отчет РПЗ(ПЗ)_ПЗИП'!$N:$N,"&lt;=31.07.2016",'Отчет РПЗ(ПЗ)_ПЗИП'!$AG:$AG,"&gt;0")</f>
        <v>0</v>
      </c>
      <c r="AS69" s="400">
        <f>SUMIFS('Отчет РПЗ(ПЗ)_ПЗИП'!$AG:$AG,'Отчет РПЗ(ПЗ)_ПЗИП'!$D:$D,Справочно!$E34,'Отчет РПЗ(ПЗ)_ПЗИП'!$AO:$AO,7)</f>
        <v>0</v>
      </c>
      <c r="AT69" s="445" t="str">
        <f t="shared" si="116"/>
        <v>НД</v>
      </c>
      <c r="AU69" s="303" t="str">
        <f t="shared" si="91"/>
        <v>НД</v>
      </c>
      <c r="AV69" s="504">
        <f>SUMIFS('Отчет РПЗ(ПЗ)_ПЗИП'!$W:$W,'Отчет РПЗ(ПЗ)_ПЗИП'!$D:$D,Справочно!$E34,'Отчет РПЗ(ПЗ)_ПЗИП'!$N:$N,"&gt;=01.08.2016",'Отчет РПЗ(ПЗ)_ПЗИП'!$N:$N,"&lt;=31.08.2016",'Отчет РПЗ(ПЗ)_ПЗИП'!$AG:$AG,"&gt;0")</f>
        <v>0</v>
      </c>
      <c r="AW69" s="400">
        <f>SUMIFS('Отчет РПЗ(ПЗ)_ПЗИП'!$AG:$AG,'Отчет РПЗ(ПЗ)_ПЗИП'!$D:$D,Справочно!$E34,'Отчет РПЗ(ПЗ)_ПЗИП'!$AO:$AO,8)</f>
        <v>0</v>
      </c>
      <c r="AX69" s="445" t="str">
        <f t="shared" si="117"/>
        <v>НД</v>
      </c>
      <c r="AY69" s="303" t="str">
        <f t="shared" si="92"/>
        <v>НД</v>
      </c>
      <c r="AZ69" s="504">
        <f>SUMIFS('Отчет РПЗ(ПЗ)_ПЗИП'!$W:$W,'Отчет РПЗ(ПЗ)_ПЗИП'!$D:$D,Справочно!$E34,'Отчет РПЗ(ПЗ)_ПЗИП'!$N:$N,"&gt;=01.09.2016",'Отчет РПЗ(ПЗ)_ПЗИП'!$N:$N,"&lt;=30.09.2016",'Отчет РПЗ(ПЗ)_ПЗИП'!$AG:$AG,"&gt;0")</f>
        <v>0</v>
      </c>
      <c r="BA69" s="400">
        <f>SUMIFS('Отчет РПЗ(ПЗ)_ПЗИП'!$AG:$AG,'Отчет РПЗ(ПЗ)_ПЗИП'!$D:$D,Справочно!$E34,'Отчет РПЗ(ПЗ)_ПЗИП'!$AO:$AO,9)</f>
        <v>0</v>
      </c>
      <c r="BB69" s="445" t="str">
        <f t="shared" si="118"/>
        <v>НД</v>
      </c>
      <c r="BC69" s="303" t="str">
        <f t="shared" si="93"/>
        <v>НД</v>
      </c>
      <c r="BD69" s="503">
        <f t="shared" si="119"/>
        <v>0</v>
      </c>
      <c r="BE69" s="402">
        <f t="shared" si="120"/>
        <v>0</v>
      </c>
      <c r="BF69" s="402" t="str">
        <f t="shared" si="121"/>
        <v>НД</v>
      </c>
      <c r="BG69" s="305" t="str">
        <f t="shared" si="94"/>
        <v>НД</v>
      </c>
      <c r="BH69" s="493">
        <f>SUMIFS('Отчет РПЗ(ПЗ)_ПЗИП'!$W:$W,'Отчет РПЗ(ПЗ)_ПЗИП'!$D:$D,Справочно!$E34,'Отчет РПЗ(ПЗ)_ПЗИП'!$N:$N,"&gt;=01.10.2016",'Отчет РПЗ(ПЗ)_ПЗИП'!$N:$N,"&lt;=31.10.2016",'Отчет РПЗ(ПЗ)_ПЗИП'!$AG:$AG,"&gt;0")</f>
        <v>0</v>
      </c>
      <c r="BI69" s="403">
        <f>SUMIFS('Отчет РПЗ(ПЗ)_ПЗИП'!$AG:$AG,'Отчет РПЗ(ПЗ)_ПЗИП'!$D:$D,Справочно!$E34,'Отчет РПЗ(ПЗ)_ПЗИП'!$AO:$AO,10)</f>
        <v>0</v>
      </c>
      <c r="BJ69" s="447" t="str">
        <f t="shared" si="122"/>
        <v>НД</v>
      </c>
      <c r="BK69" s="307" t="str">
        <f t="shared" si="95"/>
        <v>НД</v>
      </c>
      <c r="BL69" s="508">
        <f>SUMIFS('Отчет РПЗ(ПЗ)_ПЗИП'!$W:$W,'Отчет РПЗ(ПЗ)_ПЗИП'!$D:$D,Справочно!$E34,'Отчет РПЗ(ПЗ)_ПЗИП'!$N:$N,"&gt;=01.11.2016",'Отчет РПЗ(ПЗ)_ПЗИП'!$N:$N,"&lt;=30.11.2016",'Отчет РПЗ(ПЗ)_ПЗИП'!$AG:$AG,"&gt;0")</f>
        <v>0</v>
      </c>
      <c r="BM69" s="403">
        <f>SUMIFS('Отчет РПЗ(ПЗ)_ПЗИП'!$AG:$AG,'Отчет РПЗ(ПЗ)_ПЗИП'!$D:$D,Справочно!$E34,'Отчет РПЗ(ПЗ)_ПЗИП'!$AO:$AO,11)</f>
        <v>0</v>
      </c>
      <c r="BN69" s="447" t="str">
        <f t="shared" si="123"/>
        <v>НД</v>
      </c>
      <c r="BO69" s="307" t="str">
        <f t="shared" si="96"/>
        <v>НД</v>
      </c>
      <c r="BP69" s="508">
        <f>SUMIFS('Отчет РПЗ(ПЗ)_ПЗИП'!$W:$W,'Отчет РПЗ(ПЗ)_ПЗИП'!$D:$D,Справочно!$E34,'Отчет РПЗ(ПЗ)_ПЗИП'!$N:$N,"&gt;=01.12.2016",'Отчет РПЗ(ПЗ)_ПЗИП'!$N:$N,"&lt;=31.12.2016",'Отчет РПЗ(ПЗ)_ПЗИП'!$AG:$AG,"&gt;0")</f>
        <v>0</v>
      </c>
      <c r="BQ69" s="403">
        <f>SUMIFS('Отчет РПЗ(ПЗ)_ПЗИП'!$AG:$AG,'Отчет РПЗ(ПЗ)_ПЗИП'!$D:$D,Справочно!$E34,'Отчет РПЗ(ПЗ)_ПЗИП'!$AO:$AO,12)</f>
        <v>0</v>
      </c>
      <c r="BR69" s="447" t="str">
        <f t="shared" si="124"/>
        <v>НД</v>
      </c>
      <c r="BS69" s="309" t="str">
        <f t="shared" si="97"/>
        <v>НД</v>
      </c>
      <c r="BT69" s="503">
        <f t="shared" si="125"/>
        <v>0</v>
      </c>
      <c r="BU69" s="405">
        <f t="shared" si="126"/>
        <v>0</v>
      </c>
      <c r="BV69" s="405" t="str">
        <f t="shared" si="127"/>
        <v>НД</v>
      </c>
      <c r="BW69" s="310" t="str">
        <f t="shared" si="98"/>
        <v>НД</v>
      </c>
    </row>
    <row r="70" spans="2:75" ht="13.5" thickBot="1" x14ac:dyDescent="0.25">
      <c r="B70" s="58" t="str">
        <f>Справочно!E35</f>
        <v>АО "НПК "Технологии машиностроения"</v>
      </c>
      <c r="C70" s="96" t="e">
        <f>ПП!B58</f>
        <v>#REF!</v>
      </c>
      <c r="D70" s="491" t="e">
        <f>ПП!C58</f>
        <v>#REF!</v>
      </c>
      <c r="E70" s="516" t="e">
        <f>ПП!D58</f>
        <v>#REF!</v>
      </c>
      <c r="F70" s="356">
        <f>COUNTIFS('Отчет РПЗ(ПЗ)_ПЗИП'!$AG:$AG,"&gt;0",'Отчет РПЗ(ПЗ)_ПЗИП'!$D:$D,Справочно!$E35)</f>
        <v>0</v>
      </c>
      <c r="G70" s="517" t="e">
        <f t="shared" si="99"/>
        <v>#DIV/0!</v>
      </c>
      <c r="H70" s="518">
        <f>SUMIF('Отчет РПЗ(ПЗ)_ПЗИП'!$D:$D,Справочно!$E35,'Отчет РПЗ(ПЗ)_ПЗИП'!$AG:$AG)</f>
        <v>0</v>
      </c>
      <c r="I70" s="519">
        <f t="shared" si="100"/>
        <v>0</v>
      </c>
      <c r="J70" s="296" t="e">
        <f t="shared" si="101"/>
        <v>#DIV/0!</v>
      </c>
      <c r="L70" s="509">
        <f>SUMIFS('Отчет РПЗ(ПЗ)_ПЗИП'!$W:$W,'Отчет РПЗ(ПЗ)_ПЗИП'!$D:$D,Справочно!$E35,'Отчет РПЗ(ПЗ)_ПЗИП'!$N:$N,"&gt;=01.01.2016",'Отчет РПЗ(ПЗ)_ПЗИП'!$N:$N,"&lt;=31.01.2016",'Отчет РПЗ(ПЗ)_ПЗИП'!$AG:$AG,"&gt;0")</f>
        <v>0</v>
      </c>
      <c r="M70" s="394">
        <f>SUMIFS('Отчет РПЗ(ПЗ)_ПЗИП'!$AG:$AG,'Отчет РПЗ(ПЗ)_ПЗИП'!$D:$D,Справочно!$E35,'Отчет РПЗ(ПЗ)_ПЗИП'!$AO:$AO,1)</f>
        <v>0</v>
      </c>
      <c r="N70" s="406" t="str">
        <f t="shared" si="102"/>
        <v>НД</v>
      </c>
      <c r="O70" s="297" t="str">
        <f t="shared" si="103"/>
        <v>НД</v>
      </c>
      <c r="P70" s="504">
        <f>SUMIFS('Отчет РПЗ(ПЗ)_ПЗИП'!$W:$W,'Отчет РПЗ(ПЗ)_ПЗИП'!$D:$D,Справочно!$E35,'Отчет РПЗ(ПЗ)_ПЗИП'!$N:$N,"&gt;=01.02.2016",'Отчет РПЗ(ПЗ)_ПЗИП'!$N:$N,"&lt;=29.02.2016",'Отчет РПЗ(ПЗ)_ПЗИП'!$AG:$AG,"&gt;0")</f>
        <v>0</v>
      </c>
      <c r="Q70" s="394">
        <f>SUMIFS('Отчет РПЗ(ПЗ)_ПЗИП'!$AG:$AG,'Отчет РПЗ(ПЗ)_ПЗИП'!$D:$D,Справочно!$E35,'Отчет РПЗ(ПЗ)_ПЗИП'!$AO:$AO,2)</f>
        <v>0</v>
      </c>
      <c r="R70" s="406" t="str">
        <f t="shared" si="104"/>
        <v>НД</v>
      </c>
      <c r="S70" s="297" t="str">
        <f t="shared" si="105"/>
        <v>НД</v>
      </c>
      <c r="T70" s="504">
        <f>SUMIFS('Отчет РПЗ(ПЗ)_ПЗИП'!$W:$W,'Отчет РПЗ(ПЗ)_ПЗИП'!$D:$D,Справочно!$E35,'Отчет РПЗ(ПЗ)_ПЗИП'!$N:$N,"&gt;=01.03.2016",'Отчет РПЗ(ПЗ)_ПЗИП'!$N:$N,"&lt;=31.03.2016",'Отчет РПЗ(ПЗ)_ПЗИП'!$AG:$AG,"&gt;0")</f>
        <v>0</v>
      </c>
      <c r="U70" s="394">
        <f>SUMIFS('Отчет РПЗ(ПЗ)_ПЗИП'!$AG:$AG,'Отчет РПЗ(ПЗ)_ПЗИП'!$D:$D,Справочно!$E35,'Отчет РПЗ(ПЗ)_ПЗИП'!$AO:$AO,3)</f>
        <v>0</v>
      </c>
      <c r="V70" s="406" t="str">
        <f t="shared" si="106"/>
        <v>НД</v>
      </c>
      <c r="W70" s="297" t="str">
        <f t="shared" si="85"/>
        <v>НД</v>
      </c>
      <c r="X70" s="503">
        <f t="shared" si="107"/>
        <v>0</v>
      </c>
      <c r="Y70" s="396">
        <f t="shared" si="108"/>
        <v>0</v>
      </c>
      <c r="Z70" s="396" t="str">
        <f t="shared" si="109"/>
        <v>НД</v>
      </c>
      <c r="AA70" s="299" t="str">
        <f t="shared" si="86"/>
        <v>НД</v>
      </c>
      <c r="AB70" s="509">
        <f>SUMIFS('Отчет РПЗ(ПЗ)_ПЗИП'!$W:$W,'Отчет РПЗ(ПЗ)_ПЗИП'!$D:$D,Справочно!$E35,'Отчет РПЗ(ПЗ)_ПЗИП'!$N:$N,"&gt;=01.04.2016",'Отчет РПЗ(ПЗ)_ПЗИП'!$N:$N,"&lt;=30.04.2016",'Отчет РПЗ(ПЗ)_ПЗИП'!$AG:$AG,"&gt;0")</f>
        <v>0</v>
      </c>
      <c r="AC70" s="397">
        <f>SUMIFS('Отчет РПЗ(ПЗ)_ПЗИП'!$AG:$AG,'Отчет РПЗ(ПЗ)_ПЗИП'!$D:$D,Справочно!$E35,'Отчет РПЗ(ПЗ)_ПЗИП'!$AO:$AO,4)</f>
        <v>0</v>
      </c>
      <c r="AD70" s="397" t="str">
        <f t="shared" si="110"/>
        <v>НД</v>
      </c>
      <c r="AE70" s="298" t="str">
        <f t="shared" si="87"/>
        <v>НД</v>
      </c>
      <c r="AF70" s="508">
        <f>SUMIFS('Отчет РПЗ(ПЗ)_ПЗИП'!$W:$W,'Отчет РПЗ(ПЗ)_ПЗИП'!$D:$D,Справочно!$E35,'Отчет РПЗ(ПЗ)_ПЗИП'!$N:$N,"&gt;=01.05.2016",'Отчет РПЗ(ПЗ)_ПЗИП'!$N:$N,"&lt;=31.05.2016",'Отчет РПЗ(ПЗ)_ПЗИП'!$AG:$AG,"&gt;0")</f>
        <v>0</v>
      </c>
      <c r="AG70" s="397">
        <f>SUMIFS('Отчет РПЗ(ПЗ)_ПЗИП'!$AG:$AG,'Отчет РПЗ(ПЗ)_ПЗИП'!$D:$D,Справочно!$E35,'Отчет РПЗ(ПЗ)_ПЗИП'!$AO:$AO,5)</f>
        <v>0</v>
      </c>
      <c r="AH70" s="397" t="str">
        <f t="shared" si="111"/>
        <v>НД</v>
      </c>
      <c r="AI70" s="298" t="str">
        <f t="shared" si="88"/>
        <v>НД</v>
      </c>
      <c r="AJ70" s="508">
        <f>SUMIFS('Отчет РПЗ(ПЗ)_ПЗИП'!$W:$W,'Отчет РПЗ(ПЗ)_ПЗИП'!$D:$D,Справочно!$E35,'Отчет РПЗ(ПЗ)_ПЗИП'!$N:$N,"&gt;=01.06.2016",'Отчет РПЗ(ПЗ)_ПЗИП'!$N:$N,"&lt;=30.06.2016",'Отчет РПЗ(ПЗ)_ПЗИП'!$AG:$AG,"&gt;0")</f>
        <v>0</v>
      </c>
      <c r="AK70" s="397">
        <f>SUMIFS('Отчет РПЗ(ПЗ)_ПЗИП'!$AG:$AG,'Отчет РПЗ(ПЗ)_ПЗИП'!$D:$D,Справочно!$E35,'Отчет РПЗ(ПЗ)_ПЗИП'!$AO:$AO,6)</f>
        <v>0</v>
      </c>
      <c r="AL70" s="397" t="str">
        <f t="shared" si="112"/>
        <v>НД</v>
      </c>
      <c r="AM70" s="298" t="str">
        <f t="shared" si="89"/>
        <v>НД</v>
      </c>
      <c r="AN70" s="503">
        <f t="shared" si="113"/>
        <v>0</v>
      </c>
      <c r="AO70" s="399">
        <f t="shared" si="114"/>
        <v>0</v>
      </c>
      <c r="AP70" s="399" t="str">
        <f t="shared" si="115"/>
        <v>НД</v>
      </c>
      <c r="AQ70" s="301" t="str">
        <f t="shared" si="90"/>
        <v>НД</v>
      </c>
      <c r="AR70" s="509">
        <f>SUMIFS('Отчет РПЗ(ПЗ)_ПЗИП'!$W:$W,'Отчет РПЗ(ПЗ)_ПЗИП'!$D:$D,Справочно!$E35,'Отчет РПЗ(ПЗ)_ПЗИП'!$N:$N,"&gt;=01.07.2016",'Отчет РПЗ(ПЗ)_ПЗИП'!$N:$N,"&lt;=31.07.2016",'Отчет РПЗ(ПЗ)_ПЗИП'!$AG:$AG,"&gt;0")</f>
        <v>0</v>
      </c>
      <c r="AS70" s="400">
        <f>SUMIFS('Отчет РПЗ(ПЗ)_ПЗИП'!$AG:$AG,'Отчет РПЗ(ПЗ)_ПЗИП'!$D:$D,Справочно!$E35,'Отчет РПЗ(ПЗ)_ПЗИП'!$AO:$AO,7)</f>
        <v>0</v>
      </c>
      <c r="AT70" s="445" t="str">
        <f t="shared" si="116"/>
        <v>НД</v>
      </c>
      <c r="AU70" s="303" t="str">
        <f t="shared" si="91"/>
        <v>НД</v>
      </c>
      <c r="AV70" s="504">
        <f>SUMIFS('Отчет РПЗ(ПЗ)_ПЗИП'!$W:$W,'Отчет РПЗ(ПЗ)_ПЗИП'!$D:$D,Справочно!$E35,'Отчет РПЗ(ПЗ)_ПЗИП'!$N:$N,"&gt;=01.08.2016",'Отчет РПЗ(ПЗ)_ПЗИП'!$N:$N,"&lt;=31.08.2016",'Отчет РПЗ(ПЗ)_ПЗИП'!$AG:$AG,"&gt;0")</f>
        <v>0</v>
      </c>
      <c r="AW70" s="400">
        <f>SUMIFS('Отчет РПЗ(ПЗ)_ПЗИП'!$AG:$AG,'Отчет РПЗ(ПЗ)_ПЗИП'!$D:$D,Справочно!$E35,'Отчет РПЗ(ПЗ)_ПЗИП'!$AO:$AO,8)</f>
        <v>0</v>
      </c>
      <c r="AX70" s="445" t="str">
        <f t="shared" si="117"/>
        <v>НД</v>
      </c>
      <c r="AY70" s="303" t="str">
        <f t="shared" si="92"/>
        <v>НД</v>
      </c>
      <c r="AZ70" s="504">
        <f>SUMIFS('Отчет РПЗ(ПЗ)_ПЗИП'!$W:$W,'Отчет РПЗ(ПЗ)_ПЗИП'!$D:$D,Справочно!$E35,'Отчет РПЗ(ПЗ)_ПЗИП'!$N:$N,"&gt;=01.09.2016",'Отчет РПЗ(ПЗ)_ПЗИП'!$N:$N,"&lt;=30.09.2016",'Отчет РПЗ(ПЗ)_ПЗИП'!$AG:$AG,"&gt;0")</f>
        <v>0</v>
      </c>
      <c r="BA70" s="400">
        <f>SUMIFS('Отчет РПЗ(ПЗ)_ПЗИП'!$AG:$AG,'Отчет РПЗ(ПЗ)_ПЗИП'!$D:$D,Справочно!$E35,'Отчет РПЗ(ПЗ)_ПЗИП'!$AO:$AO,9)</f>
        <v>0</v>
      </c>
      <c r="BB70" s="445" t="str">
        <f t="shared" si="118"/>
        <v>НД</v>
      </c>
      <c r="BC70" s="303" t="str">
        <f t="shared" si="93"/>
        <v>НД</v>
      </c>
      <c r="BD70" s="503">
        <f t="shared" si="119"/>
        <v>0</v>
      </c>
      <c r="BE70" s="402">
        <f t="shared" si="120"/>
        <v>0</v>
      </c>
      <c r="BF70" s="402" t="str">
        <f t="shared" si="121"/>
        <v>НД</v>
      </c>
      <c r="BG70" s="305" t="str">
        <f t="shared" si="94"/>
        <v>НД</v>
      </c>
      <c r="BH70" s="493">
        <f>SUMIFS('Отчет РПЗ(ПЗ)_ПЗИП'!$W:$W,'Отчет РПЗ(ПЗ)_ПЗИП'!$D:$D,Справочно!$E35,'Отчет РПЗ(ПЗ)_ПЗИП'!$N:$N,"&gt;=01.10.2016",'Отчет РПЗ(ПЗ)_ПЗИП'!$N:$N,"&lt;=31.10.2016",'Отчет РПЗ(ПЗ)_ПЗИП'!$AG:$AG,"&gt;0")</f>
        <v>0</v>
      </c>
      <c r="BI70" s="403">
        <f>SUMIFS('Отчет РПЗ(ПЗ)_ПЗИП'!$AG:$AG,'Отчет РПЗ(ПЗ)_ПЗИП'!$D:$D,Справочно!$E35,'Отчет РПЗ(ПЗ)_ПЗИП'!$AO:$AO,10)</f>
        <v>0</v>
      </c>
      <c r="BJ70" s="447" t="str">
        <f t="shared" si="122"/>
        <v>НД</v>
      </c>
      <c r="BK70" s="307" t="str">
        <f t="shared" si="95"/>
        <v>НД</v>
      </c>
      <c r="BL70" s="508">
        <f>SUMIFS('Отчет РПЗ(ПЗ)_ПЗИП'!$W:$W,'Отчет РПЗ(ПЗ)_ПЗИП'!$D:$D,Справочно!$E35,'Отчет РПЗ(ПЗ)_ПЗИП'!$N:$N,"&gt;=01.11.2016",'Отчет РПЗ(ПЗ)_ПЗИП'!$N:$N,"&lt;=30.11.2016",'Отчет РПЗ(ПЗ)_ПЗИП'!$AG:$AG,"&gt;0")</f>
        <v>0</v>
      </c>
      <c r="BM70" s="403">
        <f>SUMIFS('Отчет РПЗ(ПЗ)_ПЗИП'!$AG:$AG,'Отчет РПЗ(ПЗ)_ПЗИП'!$D:$D,Справочно!$E35,'Отчет РПЗ(ПЗ)_ПЗИП'!$AO:$AO,11)</f>
        <v>0</v>
      </c>
      <c r="BN70" s="447" t="str">
        <f t="shared" si="123"/>
        <v>НД</v>
      </c>
      <c r="BO70" s="307" t="str">
        <f t="shared" si="96"/>
        <v>НД</v>
      </c>
      <c r="BP70" s="508">
        <f>SUMIFS('Отчет РПЗ(ПЗ)_ПЗИП'!$W:$W,'Отчет РПЗ(ПЗ)_ПЗИП'!$D:$D,Справочно!$E35,'Отчет РПЗ(ПЗ)_ПЗИП'!$N:$N,"&gt;=01.12.2016",'Отчет РПЗ(ПЗ)_ПЗИП'!$N:$N,"&lt;=31.12.2016",'Отчет РПЗ(ПЗ)_ПЗИП'!$AG:$AG,"&gt;0")</f>
        <v>0</v>
      </c>
      <c r="BQ70" s="403">
        <f>SUMIFS('Отчет РПЗ(ПЗ)_ПЗИП'!$AG:$AG,'Отчет РПЗ(ПЗ)_ПЗИП'!$D:$D,Справочно!$E35,'Отчет РПЗ(ПЗ)_ПЗИП'!$AO:$AO,12)</f>
        <v>0</v>
      </c>
      <c r="BR70" s="447" t="str">
        <f t="shared" si="124"/>
        <v>НД</v>
      </c>
      <c r="BS70" s="309" t="str">
        <f t="shared" si="97"/>
        <v>НД</v>
      </c>
      <c r="BT70" s="503">
        <f t="shared" si="125"/>
        <v>0</v>
      </c>
      <c r="BU70" s="405">
        <f t="shared" si="126"/>
        <v>0</v>
      </c>
      <c r="BV70" s="405" t="str">
        <f t="shared" si="127"/>
        <v>НД</v>
      </c>
      <c r="BW70" s="310" t="str">
        <f t="shared" si="98"/>
        <v>НД</v>
      </c>
    </row>
    <row r="71" spans="2:75" ht="12.75" customHeight="1" thickBot="1" x14ac:dyDescent="0.25">
      <c r="B71" s="58" t="str">
        <f>Справочно!E36</f>
        <v>АО "НПО "Высокоточные комплексы"</v>
      </c>
      <c r="C71" s="96" t="e">
        <f>ПП!B59</f>
        <v>#REF!</v>
      </c>
      <c r="D71" s="491" t="e">
        <f>ПП!C59</f>
        <v>#REF!</v>
      </c>
      <c r="E71" s="516" t="e">
        <f>ПП!D59</f>
        <v>#REF!</v>
      </c>
      <c r="F71" s="356">
        <f>COUNTIFS('Отчет РПЗ(ПЗ)_ПЗИП'!$AG:$AG,"&gt;0",'Отчет РПЗ(ПЗ)_ПЗИП'!$D:$D,Справочно!$E36)</f>
        <v>0</v>
      </c>
      <c r="G71" s="517" t="e">
        <f t="shared" si="99"/>
        <v>#DIV/0!</v>
      </c>
      <c r="H71" s="518">
        <f>SUMIF('Отчет РПЗ(ПЗ)_ПЗИП'!$D:$D,Справочно!$E36,'Отчет РПЗ(ПЗ)_ПЗИП'!$AG:$AG)</f>
        <v>0</v>
      </c>
      <c r="I71" s="519">
        <f t="shared" si="100"/>
        <v>0</v>
      </c>
      <c r="J71" s="296" t="e">
        <f t="shared" si="101"/>
        <v>#DIV/0!</v>
      </c>
      <c r="L71" s="509">
        <f>SUMIFS('Отчет РПЗ(ПЗ)_ПЗИП'!$W:$W,'Отчет РПЗ(ПЗ)_ПЗИП'!$D:$D,Справочно!$E36,'Отчет РПЗ(ПЗ)_ПЗИП'!$N:$N,"&gt;=01.01.2016",'Отчет РПЗ(ПЗ)_ПЗИП'!$N:$N,"&lt;=31.01.2016",'Отчет РПЗ(ПЗ)_ПЗИП'!$AG:$AG,"&gt;0")</f>
        <v>0</v>
      </c>
      <c r="M71" s="394">
        <f>SUMIFS('Отчет РПЗ(ПЗ)_ПЗИП'!$AG:$AG,'Отчет РПЗ(ПЗ)_ПЗИП'!$D:$D,Справочно!$E36,'Отчет РПЗ(ПЗ)_ПЗИП'!$AO:$AO,1)</f>
        <v>0</v>
      </c>
      <c r="N71" s="406" t="str">
        <f t="shared" si="102"/>
        <v>НД</v>
      </c>
      <c r="O71" s="297" t="str">
        <f t="shared" si="103"/>
        <v>НД</v>
      </c>
      <c r="P71" s="504">
        <f>SUMIFS('Отчет РПЗ(ПЗ)_ПЗИП'!$W:$W,'Отчет РПЗ(ПЗ)_ПЗИП'!$D:$D,Справочно!$E36,'Отчет РПЗ(ПЗ)_ПЗИП'!$N:$N,"&gt;=01.02.2016",'Отчет РПЗ(ПЗ)_ПЗИП'!$N:$N,"&lt;=29.02.2016",'Отчет РПЗ(ПЗ)_ПЗИП'!$AG:$AG,"&gt;0")</f>
        <v>0</v>
      </c>
      <c r="Q71" s="394">
        <f>SUMIFS('Отчет РПЗ(ПЗ)_ПЗИП'!$AG:$AG,'Отчет РПЗ(ПЗ)_ПЗИП'!$D:$D,Справочно!$E36,'Отчет РПЗ(ПЗ)_ПЗИП'!$AO:$AO,2)</f>
        <v>0</v>
      </c>
      <c r="R71" s="406" t="str">
        <f t="shared" si="104"/>
        <v>НД</v>
      </c>
      <c r="S71" s="297" t="str">
        <f t="shared" si="105"/>
        <v>НД</v>
      </c>
      <c r="T71" s="504">
        <f>SUMIFS('Отчет РПЗ(ПЗ)_ПЗИП'!$W:$W,'Отчет РПЗ(ПЗ)_ПЗИП'!$D:$D,Справочно!$E36,'Отчет РПЗ(ПЗ)_ПЗИП'!$N:$N,"&gt;=01.03.2016",'Отчет РПЗ(ПЗ)_ПЗИП'!$N:$N,"&lt;=31.03.2016",'Отчет РПЗ(ПЗ)_ПЗИП'!$AG:$AG,"&gt;0")</f>
        <v>0</v>
      </c>
      <c r="U71" s="394">
        <f>SUMIFS('Отчет РПЗ(ПЗ)_ПЗИП'!$AG:$AG,'Отчет РПЗ(ПЗ)_ПЗИП'!$D:$D,Справочно!$E36,'Отчет РПЗ(ПЗ)_ПЗИП'!$AO:$AO,3)</f>
        <v>0</v>
      </c>
      <c r="V71" s="406" t="str">
        <f t="shared" si="106"/>
        <v>НД</v>
      </c>
      <c r="W71" s="297" t="str">
        <f t="shared" si="85"/>
        <v>НД</v>
      </c>
      <c r="X71" s="503">
        <f t="shared" si="107"/>
        <v>0</v>
      </c>
      <c r="Y71" s="396">
        <f t="shared" si="108"/>
        <v>0</v>
      </c>
      <c r="Z71" s="396" t="str">
        <f t="shared" si="109"/>
        <v>НД</v>
      </c>
      <c r="AA71" s="299" t="str">
        <f t="shared" si="86"/>
        <v>НД</v>
      </c>
      <c r="AB71" s="509">
        <f>SUMIFS('Отчет РПЗ(ПЗ)_ПЗИП'!$W:$W,'Отчет РПЗ(ПЗ)_ПЗИП'!$D:$D,Справочно!$E36,'Отчет РПЗ(ПЗ)_ПЗИП'!$N:$N,"&gt;=01.04.2016",'Отчет РПЗ(ПЗ)_ПЗИП'!$N:$N,"&lt;=30.04.2016",'Отчет РПЗ(ПЗ)_ПЗИП'!$AG:$AG,"&gt;0")</f>
        <v>0</v>
      </c>
      <c r="AC71" s="397">
        <f>SUMIFS('Отчет РПЗ(ПЗ)_ПЗИП'!$AG:$AG,'Отчет РПЗ(ПЗ)_ПЗИП'!$D:$D,Справочно!$E36,'Отчет РПЗ(ПЗ)_ПЗИП'!$AO:$AO,4)</f>
        <v>0</v>
      </c>
      <c r="AD71" s="397" t="str">
        <f t="shared" si="110"/>
        <v>НД</v>
      </c>
      <c r="AE71" s="298" t="str">
        <f t="shared" si="87"/>
        <v>НД</v>
      </c>
      <c r="AF71" s="508">
        <f>SUMIFS('Отчет РПЗ(ПЗ)_ПЗИП'!$W:$W,'Отчет РПЗ(ПЗ)_ПЗИП'!$D:$D,Справочно!$E36,'Отчет РПЗ(ПЗ)_ПЗИП'!$N:$N,"&gt;=01.05.2016",'Отчет РПЗ(ПЗ)_ПЗИП'!$N:$N,"&lt;=31.05.2016",'Отчет РПЗ(ПЗ)_ПЗИП'!$AG:$AG,"&gt;0")</f>
        <v>0</v>
      </c>
      <c r="AG71" s="397">
        <f>SUMIFS('Отчет РПЗ(ПЗ)_ПЗИП'!$AG:$AG,'Отчет РПЗ(ПЗ)_ПЗИП'!$D:$D,Справочно!$E36,'Отчет РПЗ(ПЗ)_ПЗИП'!$AO:$AO,5)</f>
        <v>0</v>
      </c>
      <c r="AH71" s="397" t="str">
        <f t="shared" si="111"/>
        <v>НД</v>
      </c>
      <c r="AI71" s="298" t="str">
        <f t="shared" si="88"/>
        <v>НД</v>
      </c>
      <c r="AJ71" s="508">
        <f>SUMIFS('Отчет РПЗ(ПЗ)_ПЗИП'!$W:$W,'Отчет РПЗ(ПЗ)_ПЗИП'!$D:$D,Справочно!$E36,'Отчет РПЗ(ПЗ)_ПЗИП'!$N:$N,"&gt;=01.06.2016",'Отчет РПЗ(ПЗ)_ПЗИП'!$N:$N,"&lt;=30.06.2016",'Отчет РПЗ(ПЗ)_ПЗИП'!$AG:$AG,"&gt;0")</f>
        <v>0</v>
      </c>
      <c r="AK71" s="397">
        <f>SUMIFS('Отчет РПЗ(ПЗ)_ПЗИП'!$AG:$AG,'Отчет РПЗ(ПЗ)_ПЗИП'!$D:$D,Справочно!$E36,'Отчет РПЗ(ПЗ)_ПЗИП'!$AO:$AO,6)</f>
        <v>0</v>
      </c>
      <c r="AL71" s="397" t="str">
        <f t="shared" si="112"/>
        <v>НД</v>
      </c>
      <c r="AM71" s="298" t="str">
        <f t="shared" si="89"/>
        <v>НД</v>
      </c>
      <c r="AN71" s="503">
        <f t="shared" si="113"/>
        <v>0</v>
      </c>
      <c r="AO71" s="399">
        <f t="shared" si="114"/>
        <v>0</v>
      </c>
      <c r="AP71" s="399" t="str">
        <f t="shared" si="115"/>
        <v>НД</v>
      </c>
      <c r="AQ71" s="301" t="str">
        <f t="shared" si="90"/>
        <v>НД</v>
      </c>
      <c r="AR71" s="509">
        <f>SUMIFS('Отчет РПЗ(ПЗ)_ПЗИП'!$W:$W,'Отчет РПЗ(ПЗ)_ПЗИП'!$D:$D,Справочно!$E36,'Отчет РПЗ(ПЗ)_ПЗИП'!$N:$N,"&gt;=01.07.2016",'Отчет РПЗ(ПЗ)_ПЗИП'!$N:$N,"&lt;=31.07.2016",'Отчет РПЗ(ПЗ)_ПЗИП'!$AG:$AG,"&gt;0")</f>
        <v>0</v>
      </c>
      <c r="AS71" s="400">
        <f>SUMIFS('Отчет РПЗ(ПЗ)_ПЗИП'!$AG:$AG,'Отчет РПЗ(ПЗ)_ПЗИП'!$D:$D,Справочно!$E36,'Отчет РПЗ(ПЗ)_ПЗИП'!$AO:$AO,7)</f>
        <v>0</v>
      </c>
      <c r="AT71" s="445" t="str">
        <f t="shared" si="116"/>
        <v>НД</v>
      </c>
      <c r="AU71" s="303" t="str">
        <f t="shared" si="91"/>
        <v>НД</v>
      </c>
      <c r="AV71" s="504">
        <f>SUMIFS('Отчет РПЗ(ПЗ)_ПЗИП'!$W:$W,'Отчет РПЗ(ПЗ)_ПЗИП'!$D:$D,Справочно!$E36,'Отчет РПЗ(ПЗ)_ПЗИП'!$N:$N,"&gt;=01.08.2016",'Отчет РПЗ(ПЗ)_ПЗИП'!$N:$N,"&lt;=31.08.2016",'Отчет РПЗ(ПЗ)_ПЗИП'!$AG:$AG,"&gt;0")</f>
        <v>0</v>
      </c>
      <c r="AW71" s="400">
        <f>SUMIFS('Отчет РПЗ(ПЗ)_ПЗИП'!$AG:$AG,'Отчет РПЗ(ПЗ)_ПЗИП'!$D:$D,Справочно!$E36,'Отчет РПЗ(ПЗ)_ПЗИП'!$AO:$AO,8)</f>
        <v>0</v>
      </c>
      <c r="AX71" s="445" t="str">
        <f t="shared" si="117"/>
        <v>НД</v>
      </c>
      <c r="AY71" s="303" t="str">
        <f t="shared" si="92"/>
        <v>НД</v>
      </c>
      <c r="AZ71" s="504">
        <f>SUMIFS('Отчет РПЗ(ПЗ)_ПЗИП'!$W:$W,'Отчет РПЗ(ПЗ)_ПЗИП'!$D:$D,Справочно!$E36,'Отчет РПЗ(ПЗ)_ПЗИП'!$N:$N,"&gt;=01.09.2016",'Отчет РПЗ(ПЗ)_ПЗИП'!$N:$N,"&lt;=30.09.2016",'Отчет РПЗ(ПЗ)_ПЗИП'!$AG:$AG,"&gt;0")</f>
        <v>0</v>
      </c>
      <c r="BA71" s="400">
        <f>SUMIFS('Отчет РПЗ(ПЗ)_ПЗИП'!$AG:$AG,'Отчет РПЗ(ПЗ)_ПЗИП'!$D:$D,Справочно!$E36,'Отчет РПЗ(ПЗ)_ПЗИП'!$AO:$AO,9)</f>
        <v>0</v>
      </c>
      <c r="BB71" s="445" t="str">
        <f t="shared" si="118"/>
        <v>НД</v>
      </c>
      <c r="BC71" s="303" t="str">
        <f t="shared" si="93"/>
        <v>НД</v>
      </c>
      <c r="BD71" s="503">
        <f t="shared" si="119"/>
        <v>0</v>
      </c>
      <c r="BE71" s="402">
        <f t="shared" si="120"/>
        <v>0</v>
      </c>
      <c r="BF71" s="402" t="str">
        <f t="shared" si="121"/>
        <v>НД</v>
      </c>
      <c r="BG71" s="305" t="str">
        <f t="shared" si="94"/>
        <v>НД</v>
      </c>
      <c r="BH71" s="493">
        <f>SUMIFS('Отчет РПЗ(ПЗ)_ПЗИП'!$W:$W,'Отчет РПЗ(ПЗ)_ПЗИП'!$D:$D,Справочно!$E36,'Отчет РПЗ(ПЗ)_ПЗИП'!$N:$N,"&gt;=01.10.2016",'Отчет РПЗ(ПЗ)_ПЗИП'!$N:$N,"&lt;=31.10.2016",'Отчет РПЗ(ПЗ)_ПЗИП'!$AG:$AG,"&gt;0")</f>
        <v>0</v>
      </c>
      <c r="BI71" s="403">
        <f>SUMIFS('Отчет РПЗ(ПЗ)_ПЗИП'!$AG:$AG,'Отчет РПЗ(ПЗ)_ПЗИП'!$D:$D,Справочно!$E36,'Отчет РПЗ(ПЗ)_ПЗИП'!$AO:$AO,10)</f>
        <v>0</v>
      </c>
      <c r="BJ71" s="447" t="str">
        <f t="shared" si="122"/>
        <v>НД</v>
      </c>
      <c r="BK71" s="307" t="str">
        <f t="shared" si="95"/>
        <v>НД</v>
      </c>
      <c r="BL71" s="508">
        <f>SUMIFS('Отчет РПЗ(ПЗ)_ПЗИП'!$W:$W,'Отчет РПЗ(ПЗ)_ПЗИП'!$D:$D,Справочно!$E36,'Отчет РПЗ(ПЗ)_ПЗИП'!$N:$N,"&gt;=01.11.2016",'Отчет РПЗ(ПЗ)_ПЗИП'!$N:$N,"&lt;=30.11.2016",'Отчет РПЗ(ПЗ)_ПЗИП'!$AG:$AG,"&gt;0")</f>
        <v>0</v>
      </c>
      <c r="BM71" s="403">
        <f>SUMIFS('Отчет РПЗ(ПЗ)_ПЗИП'!$AG:$AG,'Отчет РПЗ(ПЗ)_ПЗИП'!$D:$D,Справочно!$E36,'Отчет РПЗ(ПЗ)_ПЗИП'!$AO:$AO,11)</f>
        <v>0</v>
      </c>
      <c r="BN71" s="447" t="str">
        <f t="shared" si="123"/>
        <v>НД</v>
      </c>
      <c r="BO71" s="307" t="str">
        <f t="shared" si="96"/>
        <v>НД</v>
      </c>
      <c r="BP71" s="508">
        <f>SUMIFS('Отчет РПЗ(ПЗ)_ПЗИП'!$W:$W,'Отчет РПЗ(ПЗ)_ПЗИП'!$D:$D,Справочно!$E36,'Отчет РПЗ(ПЗ)_ПЗИП'!$N:$N,"&gt;=01.12.2016",'Отчет РПЗ(ПЗ)_ПЗИП'!$N:$N,"&lt;=31.12.2016",'Отчет РПЗ(ПЗ)_ПЗИП'!$AG:$AG,"&gt;0")</f>
        <v>0</v>
      </c>
      <c r="BQ71" s="403">
        <f>SUMIFS('Отчет РПЗ(ПЗ)_ПЗИП'!$AG:$AG,'Отчет РПЗ(ПЗ)_ПЗИП'!$D:$D,Справочно!$E36,'Отчет РПЗ(ПЗ)_ПЗИП'!$AO:$AO,12)</f>
        <v>0</v>
      </c>
      <c r="BR71" s="447" t="str">
        <f t="shared" si="124"/>
        <v>НД</v>
      </c>
      <c r="BS71" s="309" t="str">
        <f t="shared" si="97"/>
        <v>НД</v>
      </c>
      <c r="BT71" s="503">
        <f t="shared" si="125"/>
        <v>0</v>
      </c>
      <c r="BU71" s="405">
        <f t="shared" si="126"/>
        <v>0</v>
      </c>
      <c r="BV71" s="405" t="str">
        <f t="shared" si="127"/>
        <v>НД</v>
      </c>
      <c r="BW71" s="310" t="str">
        <f t="shared" si="98"/>
        <v>НД</v>
      </c>
    </row>
    <row r="72" spans="2:75" ht="13.5" thickBot="1" x14ac:dyDescent="0.25">
      <c r="B72" s="58" t="str">
        <f>Справочно!E37</f>
        <v>АО "Объединенная приборостроительная компания"</v>
      </c>
      <c r="C72" s="96" t="e">
        <f>ПП!B60</f>
        <v>#REF!</v>
      </c>
      <c r="D72" s="491" t="e">
        <f>ПП!C60</f>
        <v>#REF!</v>
      </c>
      <c r="E72" s="516" t="e">
        <f>ПП!D60</f>
        <v>#REF!</v>
      </c>
      <c r="F72" s="356">
        <f>COUNTIFS('Отчет РПЗ(ПЗ)_ПЗИП'!$AG:$AG,"&gt;0",'Отчет РПЗ(ПЗ)_ПЗИП'!$D:$D,Справочно!$E37)</f>
        <v>0</v>
      </c>
      <c r="G72" s="517" t="e">
        <f t="shared" si="99"/>
        <v>#DIV/0!</v>
      </c>
      <c r="H72" s="518">
        <f>SUMIF('Отчет РПЗ(ПЗ)_ПЗИП'!$D:$D,Справочно!$E37,'Отчет РПЗ(ПЗ)_ПЗИП'!$AG:$AG)</f>
        <v>0</v>
      </c>
      <c r="I72" s="519">
        <f t="shared" si="100"/>
        <v>0</v>
      </c>
      <c r="J72" s="296" t="e">
        <f t="shared" si="101"/>
        <v>#DIV/0!</v>
      </c>
      <c r="L72" s="509">
        <f>SUMIFS('Отчет РПЗ(ПЗ)_ПЗИП'!$W:$W,'Отчет РПЗ(ПЗ)_ПЗИП'!$D:$D,Справочно!$E37,'Отчет РПЗ(ПЗ)_ПЗИП'!$N:$N,"&gt;=01.01.2016",'Отчет РПЗ(ПЗ)_ПЗИП'!$N:$N,"&lt;=31.01.2016",'Отчет РПЗ(ПЗ)_ПЗИП'!$AG:$AG,"&gt;0")</f>
        <v>0</v>
      </c>
      <c r="M72" s="394">
        <f>SUMIFS('Отчет РПЗ(ПЗ)_ПЗИП'!$AG:$AG,'Отчет РПЗ(ПЗ)_ПЗИП'!$D:$D,Справочно!$E37,'Отчет РПЗ(ПЗ)_ПЗИП'!$AO:$AO,1)</f>
        <v>0</v>
      </c>
      <c r="N72" s="406" t="str">
        <f t="shared" si="102"/>
        <v>НД</v>
      </c>
      <c r="O72" s="297" t="str">
        <f t="shared" si="103"/>
        <v>НД</v>
      </c>
      <c r="P72" s="504">
        <f>SUMIFS('Отчет РПЗ(ПЗ)_ПЗИП'!$W:$W,'Отчет РПЗ(ПЗ)_ПЗИП'!$D:$D,Справочно!$E37,'Отчет РПЗ(ПЗ)_ПЗИП'!$N:$N,"&gt;=01.02.2016",'Отчет РПЗ(ПЗ)_ПЗИП'!$N:$N,"&lt;=29.02.2016",'Отчет РПЗ(ПЗ)_ПЗИП'!$AG:$AG,"&gt;0")</f>
        <v>0</v>
      </c>
      <c r="Q72" s="394">
        <f>SUMIFS('Отчет РПЗ(ПЗ)_ПЗИП'!$AG:$AG,'Отчет РПЗ(ПЗ)_ПЗИП'!$D:$D,Справочно!$E37,'Отчет РПЗ(ПЗ)_ПЗИП'!$AO:$AO,2)</f>
        <v>0</v>
      </c>
      <c r="R72" s="406" t="str">
        <f t="shared" si="104"/>
        <v>НД</v>
      </c>
      <c r="S72" s="297" t="str">
        <f t="shared" si="105"/>
        <v>НД</v>
      </c>
      <c r="T72" s="504">
        <f>SUMIFS('Отчет РПЗ(ПЗ)_ПЗИП'!$W:$W,'Отчет РПЗ(ПЗ)_ПЗИП'!$D:$D,Справочно!$E37,'Отчет РПЗ(ПЗ)_ПЗИП'!$N:$N,"&gt;=01.03.2016",'Отчет РПЗ(ПЗ)_ПЗИП'!$N:$N,"&lt;=31.03.2016",'Отчет РПЗ(ПЗ)_ПЗИП'!$AG:$AG,"&gt;0")</f>
        <v>0</v>
      </c>
      <c r="U72" s="394">
        <f>SUMIFS('Отчет РПЗ(ПЗ)_ПЗИП'!$AG:$AG,'Отчет РПЗ(ПЗ)_ПЗИП'!$D:$D,Справочно!$E37,'Отчет РПЗ(ПЗ)_ПЗИП'!$AO:$AO,3)</f>
        <v>0</v>
      </c>
      <c r="V72" s="406" t="str">
        <f t="shared" si="106"/>
        <v>НД</v>
      </c>
      <c r="W72" s="297" t="str">
        <f t="shared" si="85"/>
        <v>НД</v>
      </c>
      <c r="X72" s="503">
        <f t="shared" si="107"/>
        <v>0</v>
      </c>
      <c r="Y72" s="396">
        <f t="shared" si="108"/>
        <v>0</v>
      </c>
      <c r="Z72" s="396" t="str">
        <f t="shared" si="109"/>
        <v>НД</v>
      </c>
      <c r="AA72" s="299" t="str">
        <f t="shared" si="86"/>
        <v>НД</v>
      </c>
      <c r="AB72" s="509">
        <f>SUMIFS('Отчет РПЗ(ПЗ)_ПЗИП'!$W:$W,'Отчет РПЗ(ПЗ)_ПЗИП'!$D:$D,Справочно!$E37,'Отчет РПЗ(ПЗ)_ПЗИП'!$N:$N,"&gt;=01.04.2016",'Отчет РПЗ(ПЗ)_ПЗИП'!$N:$N,"&lt;=30.04.2016",'Отчет РПЗ(ПЗ)_ПЗИП'!$AG:$AG,"&gt;0")</f>
        <v>0</v>
      </c>
      <c r="AC72" s="397">
        <f>SUMIFS('Отчет РПЗ(ПЗ)_ПЗИП'!$AG:$AG,'Отчет РПЗ(ПЗ)_ПЗИП'!$D:$D,Справочно!$E37,'Отчет РПЗ(ПЗ)_ПЗИП'!$AO:$AO,4)</f>
        <v>0</v>
      </c>
      <c r="AD72" s="397" t="str">
        <f t="shared" si="110"/>
        <v>НД</v>
      </c>
      <c r="AE72" s="298" t="str">
        <f t="shared" si="87"/>
        <v>НД</v>
      </c>
      <c r="AF72" s="508">
        <f>SUMIFS('Отчет РПЗ(ПЗ)_ПЗИП'!$W:$W,'Отчет РПЗ(ПЗ)_ПЗИП'!$D:$D,Справочно!$E37,'Отчет РПЗ(ПЗ)_ПЗИП'!$N:$N,"&gt;=01.05.2016",'Отчет РПЗ(ПЗ)_ПЗИП'!$N:$N,"&lt;=31.05.2016",'Отчет РПЗ(ПЗ)_ПЗИП'!$AG:$AG,"&gt;0")</f>
        <v>0</v>
      </c>
      <c r="AG72" s="397">
        <f>SUMIFS('Отчет РПЗ(ПЗ)_ПЗИП'!$AG:$AG,'Отчет РПЗ(ПЗ)_ПЗИП'!$D:$D,Справочно!$E37,'Отчет РПЗ(ПЗ)_ПЗИП'!$AO:$AO,5)</f>
        <v>0</v>
      </c>
      <c r="AH72" s="397" t="str">
        <f t="shared" si="111"/>
        <v>НД</v>
      </c>
      <c r="AI72" s="298" t="str">
        <f t="shared" si="88"/>
        <v>НД</v>
      </c>
      <c r="AJ72" s="508">
        <f>SUMIFS('Отчет РПЗ(ПЗ)_ПЗИП'!$W:$W,'Отчет РПЗ(ПЗ)_ПЗИП'!$D:$D,Справочно!$E37,'Отчет РПЗ(ПЗ)_ПЗИП'!$N:$N,"&gt;=01.06.2016",'Отчет РПЗ(ПЗ)_ПЗИП'!$N:$N,"&lt;=30.06.2016",'Отчет РПЗ(ПЗ)_ПЗИП'!$AG:$AG,"&gt;0")</f>
        <v>0</v>
      </c>
      <c r="AK72" s="397">
        <f>SUMIFS('Отчет РПЗ(ПЗ)_ПЗИП'!$AG:$AG,'Отчет РПЗ(ПЗ)_ПЗИП'!$D:$D,Справочно!$E37,'Отчет РПЗ(ПЗ)_ПЗИП'!$AO:$AO,6)</f>
        <v>0</v>
      </c>
      <c r="AL72" s="397" t="str">
        <f t="shared" si="112"/>
        <v>НД</v>
      </c>
      <c r="AM72" s="298" t="str">
        <f t="shared" si="89"/>
        <v>НД</v>
      </c>
      <c r="AN72" s="503">
        <f t="shared" si="113"/>
        <v>0</v>
      </c>
      <c r="AO72" s="399">
        <f t="shared" si="114"/>
        <v>0</v>
      </c>
      <c r="AP72" s="399" t="str">
        <f t="shared" si="115"/>
        <v>НД</v>
      </c>
      <c r="AQ72" s="301" t="str">
        <f t="shared" si="90"/>
        <v>НД</v>
      </c>
      <c r="AR72" s="509">
        <f>SUMIFS('Отчет РПЗ(ПЗ)_ПЗИП'!$W:$W,'Отчет РПЗ(ПЗ)_ПЗИП'!$D:$D,Справочно!$E37,'Отчет РПЗ(ПЗ)_ПЗИП'!$N:$N,"&gt;=01.07.2016",'Отчет РПЗ(ПЗ)_ПЗИП'!$N:$N,"&lt;=31.07.2016",'Отчет РПЗ(ПЗ)_ПЗИП'!$AG:$AG,"&gt;0")</f>
        <v>0</v>
      </c>
      <c r="AS72" s="400">
        <f>SUMIFS('Отчет РПЗ(ПЗ)_ПЗИП'!$AG:$AG,'Отчет РПЗ(ПЗ)_ПЗИП'!$D:$D,Справочно!$E37,'Отчет РПЗ(ПЗ)_ПЗИП'!$AO:$AO,7)</f>
        <v>0</v>
      </c>
      <c r="AT72" s="445" t="str">
        <f t="shared" si="116"/>
        <v>НД</v>
      </c>
      <c r="AU72" s="303" t="str">
        <f t="shared" si="91"/>
        <v>НД</v>
      </c>
      <c r="AV72" s="504">
        <f>SUMIFS('Отчет РПЗ(ПЗ)_ПЗИП'!$W:$W,'Отчет РПЗ(ПЗ)_ПЗИП'!$D:$D,Справочно!$E37,'Отчет РПЗ(ПЗ)_ПЗИП'!$N:$N,"&gt;=01.08.2016",'Отчет РПЗ(ПЗ)_ПЗИП'!$N:$N,"&lt;=31.08.2016",'Отчет РПЗ(ПЗ)_ПЗИП'!$AG:$AG,"&gt;0")</f>
        <v>0</v>
      </c>
      <c r="AW72" s="400">
        <f>SUMIFS('Отчет РПЗ(ПЗ)_ПЗИП'!$AG:$AG,'Отчет РПЗ(ПЗ)_ПЗИП'!$D:$D,Справочно!$E37,'Отчет РПЗ(ПЗ)_ПЗИП'!$AO:$AO,8)</f>
        <v>0</v>
      </c>
      <c r="AX72" s="445" t="str">
        <f t="shared" si="117"/>
        <v>НД</v>
      </c>
      <c r="AY72" s="303" t="str">
        <f t="shared" si="92"/>
        <v>НД</v>
      </c>
      <c r="AZ72" s="504">
        <f>SUMIFS('Отчет РПЗ(ПЗ)_ПЗИП'!$W:$W,'Отчет РПЗ(ПЗ)_ПЗИП'!$D:$D,Справочно!$E37,'Отчет РПЗ(ПЗ)_ПЗИП'!$N:$N,"&gt;=01.09.2016",'Отчет РПЗ(ПЗ)_ПЗИП'!$N:$N,"&lt;=30.09.2016",'Отчет РПЗ(ПЗ)_ПЗИП'!$AG:$AG,"&gt;0")</f>
        <v>0</v>
      </c>
      <c r="BA72" s="400">
        <f>SUMIFS('Отчет РПЗ(ПЗ)_ПЗИП'!$AG:$AG,'Отчет РПЗ(ПЗ)_ПЗИП'!$D:$D,Справочно!$E37,'Отчет РПЗ(ПЗ)_ПЗИП'!$AO:$AO,9)</f>
        <v>0</v>
      </c>
      <c r="BB72" s="445" t="str">
        <f t="shared" si="118"/>
        <v>НД</v>
      </c>
      <c r="BC72" s="303" t="str">
        <f t="shared" si="93"/>
        <v>НД</v>
      </c>
      <c r="BD72" s="503">
        <f t="shared" si="119"/>
        <v>0</v>
      </c>
      <c r="BE72" s="402">
        <f t="shared" si="120"/>
        <v>0</v>
      </c>
      <c r="BF72" s="402" t="str">
        <f t="shared" si="121"/>
        <v>НД</v>
      </c>
      <c r="BG72" s="305" t="str">
        <f t="shared" si="94"/>
        <v>НД</v>
      </c>
      <c r="BH72" s="493">
        <f>SUMIFS('Отчет РПЗ(ПЗ)_ПЗИП'!$W:$W,'Отчет РПЗ(ПЗ)_ПЗИП'!$D:$D,Справочно!$E37,'Отчет РПЗ(ПЗ)_ПЗИП'!$N:$N,"&gt;=01.10.2016",'Отчет РПЗ(ПЗ)_ПЗИП'!$N:$N,"&lt;=31.10.2016",'Отчет РПЗ(ПЗ)_ПЗИП'!$AG:$AG,"&gt;0")</f>
        <v>0</v>
      </c>
      <c r="BI72" s="403">
        <f>SUMIFS('Отчет РПЗ(ПЗ)_ПЗИП'!$AG:$AG,'Отчет РПЗ(ПЗ)_ПЗИП'!$D:$D,Справочно!$E37,'Отчет РПЗ(ПЗ)_ПЗИП'!$AO:$AO,10)</f>
        <v>0</v>
      </c>
      <c r="BJ72" s="447" t="str">
        <f t="shared" si="122"/>
        <v>НД</v>
      </c>
      <c r="BK72" s="307" t="str">
        <f t="shared" si="95"/>
        <v>НД</v>
      </c>
      <c r="BL72" s="508">
        <f>SUMIFS('Отчет РПЗ(ПЗ)_ПЗИП'!$W:$W,'Отчет РПЗ(ПЗ)_ПЗИП'!$D:$D,Справочно!$E37,'Отчет РПЗ(ПЗ)_ПЗИП'!$N:$N,"&gt;=01.11.2016",'Отчет РПЗ(ПЗ)_ПЗИП'!$N:$N,"&lt;=30.11.2016",'Отчет РПЗ(ПЗ)_ПЗИП'!$AG:$AG,"&gt;0")</f>
        <v>0</v>
      </c>
      <c r="BM72" s="403">
        <f>SUMIFS('Отчет РПЗ(ПЗ)_ПЗИП'!$AG:$AG,'Отчет РПЗ(ПЗ)_ПЗИП'!$D:$D,Справочно!$E37,'Отчет РПЗ(ПЗ)_ПЗИП'!$AO:$AO,11)</f>
        <v>0</v>
      </c>
      <c r="BN72" s="447" t="str">
        <f t="shared" si="123"/>
        <v>НД</v>
      </c>
      <c r="BO72" s="307" t="str">
        <f t="shared" si="96"/>
        <v>НД</v>
      </c>
      <c r="BP72" s="508">
        <f>SUMIFS('Отчет РПЗ(ПЗ)_ПЗИП'!$W:$W,'Отчет РПЗ(ПЗ)_ПЗИП'!$D:$D,Справочно!$E37,'Отчет РПЗ(ПЗ)_ПЗИП'!$N:$N,"&gt;=01.12.2016",'Отчет РПЗ(ПЗ)_ПЗИП'!$N:$N,"&lt;=31.12.2016",'Отчет РПЗ(ПЗ)_ПЗИП'!$AG:$AG,"&gt;0")</f>
        <v>0</v>
      </c>
      <c r="BQ72" s="403">
        <f>SUMIFS('Отчет РПЗ(ПЗ)_ПЗИП'!$AG:$AG,'Отчет РПЗ(ПЗ)_ПЗИП'!$D:$D,Справочно!$E37,'Отчет РПЗ(ПЗ)_ПЗИП'!$AO:$AO,12)</f>
        <v>0</v>
      </c>
      <c r="BR72" s="447" t="str">
        <f t="shared" si="124"/>
        <v>НД</v>
      </c>
      <c r="BS72" s="309" t="str">
        <f t="shared" si="97"/>
        <v>НД</v>
      </c>
      <c r="BT72" s="503">
        <f t="shared" si="125"/>
        <v>0</v>
      </c>
      <c r="BU72" s="405">
        <f t="shared" si="126"/>
        <v>0</v>
      </c>
      <c r="BV72" s="405" t="str">
        <f t="shared" si="127"/>
        <v>НД</v>
      </c>
      <c r="BW72" s="310" t="str">
        <f t="shared" si="98"/>
        <v>НД</v>
      </c>
    </row>
    <row r="73" spans="2:75" ht="13.5" thickBot="1" x14ac:dyDescent="0.25">
      <c r="B73" s="58" t="str">
        <f>Справочно!E38</f>
        <v>ОАО "Оборонпром"</v>
      </c>
      <c r="C73" s="96" t="e">
        <f>ПП!B61</f>
        <v>#REF!</v>
      </c>
      <c r="D73" s="491" t="e">
        <f>ПП!C61</f>
        <v>#REF!</v>
      </c>
      <c r="E73" s="516" t="e">
        <f>ПП!D61</f>
        <v>#REF!</v>
      </c>
      <c r="F73" s="356">
        <f>COUNTIFS('Отчет РПЗ(ПЗ)_ПЗИП'!$AG:$AG,"&gt;0",'Отчет РПЗ(ПЗ)_ПЗИП'!$D:$D,Справочно!$E38)</f>
        <v>0</v>
      </c>
      <c r="G73" s="517" t="e">
        <f t="shared" si="99"/>
        <v>#DIV/0!</v>
      </c>
      <c r="H73" s="518">
        <f>SUMIF('Отчет РПЗ(ПЗ)_ПЗИП'!$D:$D,Справочно!$E38,'Отчет РПЗ(ПЗ)_ПЗИП'!$AG:$AG)</f>
        <v>0</v>
      </c>
      <c r="I73" s="519">
        <f t="shared" si="100"/>
        <v>0</v>
      </c>
      <c r="J73" s="296" t="e">
        <f t="shared" si="101"/>
        <v>#DIV/0!</v>
      </c>
      <c r="L73" s="509">
        <f>SUMIFS('Отчет РПЗ(ПЗ)_ПЗИП'!$W:$W,'Отчет РПЗ(ПЗ)_ПЗИП'!$D:$D,Справочно!$E38,'Отчет РПЗ(ПЗ)_ПЗИП'!$N:$N,"&gt;=01.01.2016",'Отчет РПЗ(ПЗ)_ПЗИП'!$N:$N,"&lt;=31.01.2016",'Отчет РПЗ(ПЗ)_ПЗИП'!$AG:$AG,"&gt;0")</f>
        <v>0</v>
      </c>
      <c r="M73" s="394">
        <f>SUMIFS('Отчет РПЗ(ПЗ)_ПЗИП'!$AG:$AG,'Отчет РПЗ(ПЗ)_ПЗИП'!$D:$D,Справочно!$E38,'Отчет РПЗ(ПЗ)_ПЗИП'!$AO:$AO,1)</f>
        <v>0</v>
      </c>
      <c r="N73" s="406" t="str">
        <f t="shared" si="102"/>
        <v>НД</v>
      </c>
      <c r="O73" s="297" t="str">
        <f t="shared" si="103"/>
        <v>НД</v>
      </c>
      <c r="P73" s="504">
        <f>SUMIFS('Отчет РПЗ(ПЗ)_ПЗИП'!$W:$W,'Отчет РПЗ(ПЗ)_ПЗИП'!$D:$D,Справочно!$E38,'Отчет РПЗ(ПЗ)_ПЗИП'!$N:$N,"&gt;=01.02.2016",'Отчет РПЗ(ПЗ)_ПЗИП'!$N:$N,"&lt;=29.02.2016",'Отчет РПЗ(ПЗ)_ПЗИП'!$AG:$AG,"&gt;0")</f>
        <v>0</v>
      </c>
      <c r="Q73" s="394">
        <f>SUMIFS('Отчет РПЗ(ПЗ)_ПЗИП'!$AG:$AG,'Отчет РПЗ(ПЗ)_ПЗИП'!$D:$D,Справочно!$E38,'Отчет РПЗ(ПЗ)_ПЗИП'!$AO:$AO,2)</f>
        <v>0</v>
      </c>
      <c r="R73" s="406" t="str">
        <f t="shared" si="104"/>
        <v>НД</v>
      </c>
      <c r="S73" s="297" t="str">
        <f t="shared" si="105"/>
        <v>НД</v>
      </c>
      <c r="T73" s="504">
        <f>SUMIFS('Отчет РПЗ(ПЗ)_ПЗИП'!$W:$W,'Отчет РПЗ(ПЗ)_ПЗИП'!$D:$D,Справочно!$E38,'Отчет РПЗ(ПЗ)_ПЗИП'!$N:$N,"&gt;=01.03.2016",'Отчет РПЗ(ПЗ)_ПЗИП'!$N:$N,"&lt;=31.03.2016",'Отчет РПЗ(ПЗ)_ПЗИП'!$AG:$AG,"&gt;0")</f>
        <v>0</v>
      </c>
      <c r="U73" s="394">
        <f>SUMIFS('Отчет РПЗ(ПЗ)_ПЗИП'!$AG:$AG,'Отчет РПЗ(ПЗ)_ПЗИП'!$D:$D,Справочно!$E38,'Отчет РПЗ(ПЗ)_ПЗИП'!$AO:$AO,3)</f>
        <v>0</v>
      </c>
      <c r="V73" s="406" t="str">
        <f t="shared" si="106"/>
        <v>НД</v>
      </c>
      <c r="W73" s="297" t="str">
        <f t="shared" si="85"/>
        <v>НД</v>
      </c>
      <c r="X73" s="503">
        <f t="shared" si="107"/>
        <v>0</v>
      </c>
      <c r="Y73" s="396">
        <f t="shared" si="108"/>
        <v>0</v>
      </c>
      <c r="Z73" s="396" t="str">
        <f t="shared" si="109"/>
        <v>НД</v>
      </c>
      <c r="AA73" s="299" t="str">
        <f t="shared" si="86"/>
        <v>НД</v>
      </c>
      <c r="AB73" s="509">
        <f>SUMIFS('Отчет РПЗ(ПЗ)_ПЗИП'!$W:$W,'Отчет РПЗ(ПЗ)_ПЗИП'!$D:$D,Справочно!$E38,'Отчет РПЗ(ПЗ)_ПЗИП'!$N:$N,"&gt;=01.04.2016",'Отчет РПЗ(ПЗ)_ПЗИП'!$N:$N,"&lt;=30.04.2016",'Отчет РПЗ(ПЗ)_ПЗИП'!$AG:$AG,"&gt;0")</f>
        <v>0</v>
      </c>
      <c r="AC73" s="397">
        <f>SUMIFS('Отчет РПЗ(ПЗ)_ПЗИП'!$AG:$AG,'Отчет РПЗ(ПЗ)_ПЗИП'!$D:$D,Справочно!$E38,'Отчет РПЗ(ПЗ)_ПЗИП'!$AO:$AO,4)</f>
        <v>0</v>
      </c>
      <c r="AD73" s="397" t="str">
        <f t="shared" si="110"/>
        <v>НД</v>
      </c>
      <c r="AE73" s="298" t="str">
        <f t="shared" si="87"/>
        <v>НД</v>
      </c>
      <c r="AF73" s="508">
        <f>SUMIFS('Отчет РПЗ(ПЗ)_ПЗИП'!$W:$W,'Отчет РПЗ(ПЗ)_ПЗИП'!$D:$D,Справочно!$E38,'Отчет РПЗ(ПЗ)_ПЗИП'!$N:$N,"&gt;=01.05.2016",'Отчет РПЗ(ПЗ)_ПЗИП'!$N:$N,"&lt;=31.05.2016",'Отчет РПЗ(ПЗ)_ПЗИП'!$AG:$AG,"&gt;0")</f>
        <v>0</v>
      </c>
      <c r="AG73" s="397">
        <f>SUMIFS('Отчет РПЗ(ПЗ)_ПЗИП'!$AG:$AG,'Отчет РПЗ(ПЗ)_ПЗИП'!$D:$D,Справочно!$E38,'Отчет РПЗ(ПЗ)_ПЗИП'!$AO:$AO,5)</f>
        <v>0</v>
      </c>
      <c r="AH73" s="397" t="str">
        <f t="shared" si="111"/>
        <v>НД</v>
      </c>
      <c r="AI73" s="298" t="str">
        <f t="shared" si="88"/>
        <v>НД</v>
      </c>
      <c r="AJ73" s="508">
        <f>SUMIFS('Отчет РПЗ(ПЗ)_ПЗИП'!$W:$W,'Отчет РПЗ(ПЗ)_ПЗИП'!$D:$D,Справочно!$E38,'Отчет РПЗ(ПЗ)_ПЗИП'!$N:$N,"&gt;=01.06.2016",'Отчет РПЗ(ПЗ)_ПЗИП'!$N:$N,"&lt;=30.06.2016",'Отчет РПЗ(ПЗ)_ПЗИП'!$AG:$AG,"&gt;0")</f>
        <v>0</v>
      </c>
      <c r="AK73" s="397">
        <f>SUMIFS('Отчет РПЗ(ПЗ)_ПЗИП'!$AG:$AG,'Отчет РПЗ(ПЗ)_ПЗИП'!$D:$D,Справочно!$E38,'Отчет РПЗ(ПЗ)_ПЗИП'!$AO:$AO,6)</f>
        <v>0</v>
      </c>
      <c r="AL73" s="397" t="str">
        <f t="shared" si="112"/>
        <v>НД</v>
      </c>
      <c r="AM73" s="298" t="str">
        <f t="shared" si="89"/>
        <v>НД</v>
      </c>
      <c r="AN73" s="503">
        <f t="shared" si="113"/>
        <v>0</v>
      </c>
      <c r="AO73" s="399">
        <f t="shared" si="114"/>
        <v>0</v>
      </c>
      <c r="AP73" s="399" t="str">
        <f t="shared" si="115"/>
        <v>НД</v>
      </c>
      <c r="AQ73" s="301" t="str">
        <f t="shared" si="90"/>
        <v>НД</v>
      </c>
      <c r="AR73" s="509">
        <f>SUMIFS('Отчет РПЗ(ПЗ)_ПЗИП'!$W:$W,'Отчет РПЗ(ПЗ)_ПЗИП'!$D:$D,Справочно!$E38,'Отчет РПЗ(ПЗ)_ПЗИП'!$N:$N,"&gt;=01.07.2016",'Отчет РПЗ(ПЗ)_ПЗИП'!$N:$N,"&lt;=31.07.2016",'Отчет РПЗ(ПЗ)_ПЗИП'!$AG:$AG,"&gt;0")</f>
        <v>0</v>
      </c>
      <c r="AS73" s="400">
        <f>SUMIFS('Отчет РПЗ(ПЗ)_ПЗИП'!$AG:$AG,'Отчет РПЗ(ПЗ)_ПЗИП'!$D:$D,Справочно!$E38,'Отчет РПЗ(ПЗ)_ПЗИП'!$AO:$AO,7)</f>
        <v>0</v>
      </c>
      <c r="AT73" s="445" t="str">
        <f t="shared" si="116"/>
        <v>НД</v>
      </c>
      <c r="AU73" s="303" t="str">
        <f t="shared" si="91"/>
        <v>НД</v>
      </c>
      <c r="AV73" s="504">
        <f>SUMIFS('Отчет РПЗ(ПЗ)_ПЗИП'!$W:$W,'Отчет РПЗ(ПЗ)_ПЗИП'!$D:$D,Справочно!$E38,'Отчет РПЗ(ПЗ)_ПЗИП'!$N:$N,"&gt;=01.08.2016",'Отчет РПЗ(ПЗ)_ПЗИП'!$N:$N,"&lt;=31.08.2016",'Отчет РПЗ(ПЗ)_ПЗИП'!$AG:$AG,"&gt;0")</f>
        <v>0</v>
      </c>
      <c r="AW73" s="400">
        <f>SUMIFS('Отчет РПЗ(ПЗ)_ПЗИП'!$AG:$AG,'Отчет РПЗ(ПЗ)_ПЗИП'!$D:$D,Справочно!$E38,'Отчет РПЗ(ПЗ)_ПЗИП'!$AO:$AO,8)</f>
        <v>0</v>
      </c>
      <c r="AX73" s="445" t="str">
        <f t="shared" si="117"/>
        <v>НД</v>
      </c>
      <c r="AY73" s="303" t="str">
        <f t="shared" si="92"/>
        <v>НД</v>
      </c>
      <c r="AZ73" s="504">
        <f>SUMIFS('Отчет РПЗ(ПЗ)_ПЗИП'!$W:$W,'Отчет РПЗ(ПЗ)_ПЗИП'!$D:$D,Справочно!$E38,'Отчет РПЗ(ПЗ)_ПЗИП'!$N:$N,"&gt;=01.09.2016",'Отчет РПЗ(ПЗ)_ПЗИП'!$N:$N,"&lt;=30.09.2016",'Отчет РПЗ(ПЗ)_ПЗИП'!$AG:$AG,"&gt;0")</f>
        <v>0</v>
      </c>
      <c r="BA73" s="400">
        <f>SUMIFS('Отчет РПЗ(ПЗ)_ПЗИП'!$AG:$AG,'Отчет РПЗ(ПЗ)_ПЗИП'!$D:$D,Справочно!$E38,'Отчет РПЗ(ПЗ)_ПЗИП'!$AO:$AO,9)</f>
        <v>0</v>
      </c>
      <c r="BB73" s="445" t="str">
        <f t="shared" si="118"/>
        <v>НД</v>
      </c>
      <c r="BC73" s="303" t="str">
        <f t="shared" si="93"/>
        <v>НД</v>
      </c>
      <c r="BD73" s="503">
        <f t="shared" si="119"/>
        <v>0</v>
      </c>
      <c r="BE73" s="402">
        <f t="shared" si="120"/>
        <v>0</v>
      </c>
      <c r="BF73" s="402" t="str">
        <f t="shared" si="121"/>
        <v>НД</v>
      </c>
      <c r="BG73" s="305" t="str">
        <f t="shared" si="94"/>
        <v>НД</v>
      </c>
      <c r="BH73" s="493">
        <f>SUMIFS('Отчет РПЗ(ПЗ)_ПЗИП'!$W:$W,'Отчет РПЗ(ПЗ)_ПЗИП'!$D:$D,Справочно!$E38,'Отчет РПЗ(ПЗ)_ПЗИП'!$N:$N,"&gt;=01.10.2016",'Отчет РПЗ(ПЗ)_ПЗИП'!$N:$N,"&lt;=31.10.2016",'Отчет РПЗ(ПЗ)_ПЗИП'!$AG:$AG,"&gt;0")</f>
        <v>0</v>
      </c>
      <c r="BI73" s="403">
        <f>SUMIFS('Отчет РПЗ(ПЗ)_ПЗИП'!$AG:$AG,'Отчет РПЗ(ПЗ)_ПЗИП'!$D:$D,Справочно!$E38,'Отчет РПЗ(ПЗ)_ПЗИП'!$AO:$AO,10)</f>
        <v>0</v>
      </c>
      <c r="BJ73" s="447" t="str">
        <f t="shared" si="122"/>
        <v>НД</v>
      </c>
      <c r="BK73" s="307" t="str">
        <f t="shared" si="95"/>
        <v>НД</v>
      </c>
      <c r="BL73" s="508">
        <f>SUMIFS('Отчет РПЗ(ПЗ)_ПЗИП'!$W:$W,'Отчет РПЗ(ПЗ)_ПЗИП'!$D:$D,Справочно!$E38,'Отчет РПЗ(ПЗ)_ПЗИП'!$N:$N,"&gt;=01.11.2016",'Отчет РПЗ(ПЗ)_ПЗИП'!$N:$N,"&lt;=30.11.2016",'Отчет РПЗ(ПЗ)_ПЗИП'!$AG:$AG,"&gt;0")</f>
        <v>0</v>
      </c>
      <c r="BM73" s="403">
        <f>SUMIFS('Отчет РПЗ(ПЗ)_ПЗИП'!$AG:$AG,'Отчет РПЗ(ПЗ)_ПЗИП'!$D:$D,Справочно!$E38,'Отчет РПЗ(ПЗ)_ПЗИП'!$AO:$AO,11)</f>
        <v>0</v>
      </c>
      <c r="BN73" s="447" t="str">
        <f t="shared" si="123"/>
        <v>НД</v>
      </c>
      <c r="BO73" s="307" t="str">
        <f t="shared" si="96"/>
        <v>НД</v>
      </c>
      <c r="BP73" s="508">
        <f>SUMIFS('Отчет РПЗ(ПЗ)_ПЗИП'!$W:$W,'Отчет РПЗ(ПЗ)_ПЗИП'!$D:$D,Справочно!$E38,'Отчет РПЗ(ПЗ)_ПЗИП'!$N:$N,"&gt;=01.12.2016",'Отчет РПЗ(ПЗ)_ПЗИП'!$N:$N,"&lt;=31.12.2016",'Отчет РПЗ(ПЗ)_ПЗИП'!$AG:$AG,"&gt;0")</f>
        <v>0</v>
      </c>
      <c r="BQ73" s="403">
        <f>SUMIFS('Отчет РПЗ(ПЗ)_ПЗИП'!$AG:$AG,'Отчет РПЗ(ПЗ)_ПЗИП'!$D:$D,Справочно!$E38,'Отчет РПЗ(ПЗ)_ПЗИП'!$AO:$AO,12)</f>
        <v>0</v>
      </c>
      <c r="BR73" s="447" t="str">
        <f t="shared" si="124"/>
        <v>НД</v>
      </c>
      <c r="BS73" s="309" t="str">
        <f t="shared" si="97"/>
        <v>НД</v>
      </c>
      <c r="BT73" s="503">
        <f t="shared" si="125"/>
        <v>0</v>
      </c>
      <c r="BU73" s="405">
        <f t="shared" si="126"/>
        <v>0</v>
      </c>
      <c r="BV73" s="405" t="str">
        <f t="shared" si="127"/>
        <v>НД</v>
      </c>
      <c r="BW73" s="310" t="str">
        <f t="shared" si="98"/>
        <v>НД</v>
      </c>
    </row>
    <row r="74" spans="2:75" ht="13.5" thickBot="1" x14ac:dyDescent="0.25">
      <c r="B74" s="58" t="str">
        <f>Справочно!E39</f>
        <v>АО "Российская электроника"</v>
      </c>
      <c r="C74" s="96" t="e">
        <f>ПП!B62</f>
        <v>#REF!</v>
      </c>
      <c r="D74" s="491" t="e">
        <f>ПП!C62</f>
        <v>#REF!</v>
      </c>
      <c r="E74" s="516" t="e">
        <f>ПП!D62</f>
        <v>#REF!</v>
      </c>
      <c r="F74" s="356">
        <f>COUNTIFS('Отчет РПЗ(ПЗ)_ПЗИП'!$AG:$AG,"&gt;0",'Отчет РПЗ(ПЗ)_ПЗИП'!$D:$D,Справочно!$E39)</f>
        <v>0</v>
      </c>
      <c r="G74" s="517" t="e">
        <f t="shared" si="99"/>
        <v>#DIV/0!</v>
      </c>
      <c r="H74" s="518">
        <f>SUMIF('Отчет РПЗ(ПЗ)_ПЗИП'!$D:$D,Справочно!$E39,'Отчет РПЗ(ПЗ)_ПЗИП'!$AG:$AG)</f>
        <v>0</v>
      </c>
      <c r="I74" s="519">
        <f t="shared" si="100"/>
        <v>0</v>
      </c>
      <c r="J74" s="296" t="e">
        <f t="shared" si="101"/>
        <v>#DIV/0!</v>
      </c>
      <c r="L74" s="509">
        <f>SUMIFS('Отчет РПЗ(ПЗ)_ПЗИП'!$W:$W,'Отчет РПЗ(ПЗ)_ПЗИП'!$D:$D,Справочно!$E39,'Отчет РПЗ(ПЗ)_ПЗИП'!$N:$N,"&gt;=01.01.2016",'Отчет РПЗ(ПЗ)_ПЗИП'!$N:$N,"&lt;=31.01.2016",'Отчет РПЗ(ПЗ)_ПЗИП'!$AG:$AG,"&gt;0")</f>
        <v>0</v>
      </c>
      <c r="M74" s="394">
        <f>SUMIFS('Отчет РПЗ(ПЗ)_ПЗИП'!$AG:$AG,'Отчет РПЗ(ПЗ)_ПЗИП'!$D:$D,Справочно!$E39,'Отчет РПЗ(ПЗ)_ПЗИП'!$AO:$AO,1)</f>
        <v>0</v>
      </c>
      <c r="N74" s="406" t="str">
        <f t="shared" si="102"/>
        <v>НД</v>
      </c>
      <c r="O74" s="297" t="str">
        <f t="shared" si="103"/>
        <v>НД</v>
      </c>
      <c r="P74" s="504">
        <f>SUMIFS('Отчет РПЗ(ПЗ)_ПЗИП'!$W:$W,'Отчет РПЗ(ПЗ)_ПЗИП'!$D:$D,Справочно!$E39,'Отчет РПЗ(ПЗ)_ПЗИП'!$N:$N,"&gt;=01.02.2016",'Отчет РПЗ(ПЗ)_ПЗИП'!$N:$N,"&lt;=29.02.2016",'Отчет РПЗ(ПЗ)_ПЗИП'!$AG:$AG,"&gt;0")</f>
        <v>0</v>
      </c>
      <c r="Q74" s="394">
        <f>SUMIFS('Отчет РПЗ(ПЗ)_ПЗИП'!$AG:$AG,'Отчет РПЗ(ПЗ)_ПЗИП'!$D:$D,Справочно!$E39,'Отчет РПЗ(ПЗ)_ПЗИП'!$AO:$AO,2)</f>
        <v>0</v>
      </c>
      <c r="R74" s="406" t="str">
        <f t="shared" si="104"/>
        <v>НД</v>
      </c>
      <c r="S74" s="297" t="str">
        <f t="shared" si="105"/>
        <v>НД</v>
      </c>
      <c r="T74" s="504">
        <f>SUMIFS('Отчет РПЗ(ПЗ)_ПЗИП'!$W:$W,'Отчет РПЗ(ПЗ)_ПЗИП'!$D:$D,Справочно!$E39,'Отчет РПЗ(ПЗ)_ПЗИП'!$N:$N,"&gt;=01.03.2016",'Отчет РПЗ(ПЗ)_ПЗИП'!$N:$N,"&lt;=31.03.2016",'Отчет РПЗ(ПЗ)_ПЗИП'!$AG:$AG,"&gt;0")</f>
        <v>0</v>
      </c>
      <c r="U74" s="394">
        <f>SUMIFS('Отчет РПЗ(ПЗ)_ПЗИП'!$AG:$AG,'Отчет РПЗ(ПЗ)_ПЗИП'!$D:$D,Справочно!$E39,'Отчет РПЗ(ПЗ)_ПЗИП'!$AO:$AO,3)</f>
        <v>0</v>
      </c>
      <c r="V74" s="406" t="str">
        <f t="shared" si="106"/>
        <v>НД</v>
      </c>
      <c r="W74" s="297" t="str">
        <f t="shared" si="85"/>
        <v>НД</v>
      </c>
      <c r="X74" s="503">
        <f t="shared" si="107"/>
        <v>0</v>
      </c>
      <c r="Y74" s="396">
        <f t="shared" si="108"/>
        <v>0</v>
      </c>
      <c r="Z74" s="396" t="str">
        <f t="shared" si="109"/>
        <v>НД</v>
      </c>
      <c r="AA74" s="299" t="str">
        <f t="shared" si="86"/>
        <v>НД</v>
      </c>
      <c r="AB74" s="509">
        <f>SUMIFS('Отчет РПЗ(ПЗ)_ПЗИП'!$W:$W,'Отчет РПЗ(ПЗ)_ПЗИП'!$D:$D,Справочно!$E39,'Отчет РПЗ(ПЗ)_ПЗИП'!$N:$N,"&gt;=01.04.2016",'Отчет РПЗ(ПЗ)_ПЗИП'!$N:$N,"&lt;=30.04.2016",'Отчет РПЗ(ПЗ)_ПЗИП'!$AG:$AG,"&gt;0")</f>
        <v>0</v>
      </c>
      <c r="AC74" s="397">
        <f>SUMIFS('Отчет РПЗ(ПЗ)_ПЗИП'!$AG:$AG,'Отчет РПЗ(ПЗ)_ПЗИП'!$D:$D,Справочно!$E39,'Отчет РПЗ(ПЗ)_ПЗИП'!$AO:$AO,4)</f>
        <v>0</v>
      </c>
      <c r="AD74" s="397" t="str">
        <f t="shared" si="110"/>
        <v>НД</v>
      </c>
      <c r="AE74" s="298" t="str">
        <f t="shared" si="87"/>
        <v>НД</v>
      </c>
      <c r="AF74" s="508">
        <f>SUMIFS('Отчет РПЗ(ПЗ)_ПЗИП'!$W:$W,'Отчет РПЗ(ПЗ)_ПЗИП'!$D:$D,Справочно!$E39,'Отчет РПЗ(ПЗ)_ПЗИП'!$N:$N,"&gt;=01.05.2016",'Отчет РПЗ(ПЗ)_ПЗИП'!$N:$N,"&lt;=31.05.2016",'Отчет РПЗ(ПЗ)_ПЗИП'!$AG:$AG,"&gt;0")</f>
        <v>0</v>
      </c>
      <c r="AG74" s="397">
        <f>SUMIFS('Отчет РПЗ(ПЗ)_ПЗИП'!$AG:$AG,'Отчет РПЗ(ПЗ)_ПЗИП'!$D:$D,Справочно!$E39,'Отчет РПЗ(ПЗ)_ПЗИП'!$AO:$AO,5)</f>
        <v>0</v>
      </c>
      <c r="AH74" s="397" t="str">
        <f t="shared" si="111"/>
        <v>НД</v>
      </c>
      <c r="AI74" s="298" t="str">
        <f t="shared" si="88"/>
        <v>НД</v>
      </c>
      <c r="AJ74" s="508">
        <f>SUMIFS('Отчет РПЗ(ПЗ)_ПЗИП'!$W:$W,'Отчет РПЗ(ПЗ)_ПЗИП'!$D:$D,Справочно!$E39,'Отчет РПЗ(ПЗ)_ПЗИП'!$N:$N,"&gt;=01.06.2016",'Отчет РПЗ(ПЗ)_ПЗИП'!$N:$N,"&lt;=30.06.2016",'Отчет РПЗ(ПЗ)_ПЗИП'!$AG:$AG,"&gt;0")</f>
        <v>0</v>
      </c>
      <c r="AK74" s="397">
        <f>SUMIFS('Отчет РПЗ(ПЗ)_ПЗИП'!$AG:$AG,'Отчет РПЗ(ПЗ)_ПЗИП'!$D:$D,Справочно!$E39,'Отчет РПЗ(ПЗ)_ПЗИП'!$AO:$AO,6)</f>
        <v>0</v>
      </c>
      <c r="AL74" s="397" t="str">
        <f t="shared" si="112"/>
        <v>НД</v>
      </c>
      <c r="AM74" s="298" t="str">
        <f t="shared" si="89"/>
        <v>НД</v>
      </c>
      <c r="AN74" s="503">
        <f t="shared" si="113"/>
        <v>0</v>
      </c>
      <c r="AO74" s="399">
        <f t="shared" si="114"/>
        <v>0</v>
      </c>
      <c r="AP74" s="399" t="str">
        <f t="shared" si="115"/>
        <v>НД</v>
      </c>
      <c r="AQ74" s="301" t="str">
        <f t="shared" si="90"/>
        <v>НД</v>
      </c>
      <c r="AR74" s="509">
        <f>SUMIFS('Отчет РПЗ(ПЗ)_ПЗИП'!$W:$W,'Отчет РПЗ(ПЗ)_ПЗИП'!$D:$D,Справочно!$E39,'Отчет РПЗ(ПЗ)_ПЗИП'!$N:$N,"&gt;=01.07.2016",'Отчет РПЗ(ПЗ)_ПЗИП'!$N:$N,"&lt;=31.07.2016",'Отчет РПЗ(ПЗ)_ПЗИП'!$AG:$AG,"&gt;0")</f>
        <v>0</v>
      </c>
      <c r="AS74" s="400">
        <f>SUMIFS('Отчет РПЗ(ПЗ)_ПЗИП'!$AG:$AG,'Отчет РПЗ(ПЗ)_ПЗИП'!$D:$D,Справочно!$E39,'Отчет РПЗ(ПЗ)_ПЗИП'!$AO:$AO,7)</f>
        <v>0</v>
      </c>
      <c r="AT74" s="445" t="str">
        <f t="shared" si="116"/>
        <v>НД</v>
      </c>
      <c r="AU74" s="303" t="str">
        <f t="shared" si="91"/>
        <v>НД</v>
      </c>
      <c r="AV74" s="504">
        <f>SUMIFS('Отчет РПЗ(ПЗ)_ПЗИП'!$W:$W,'Отчет РПЗ(ПЗ)_ПЗИП'!$D:$D,Справочно!$E39,'Отчет РПЗ(ПЗ)_ПЗИП'!$N:$N,"&gt;=01.08.2016",'Отчет РПЗ(ПЗ)_ПЗИП'!$N:$N,"&lt;=31.08.2016",'Отчет РПЗ(ПЗ)_ПЗИП'!$AG:$AG,"&gt;0")</f>
        <v>0</v>
      </c>
      <c r="AW74" s="400">
        <f>SUMIFS('Отчет РПЗ(ПЗ)_ПЗИП'!$AG:$AG,'Отчет РПЗ(ПЗ)_ПЗИП'!$D:$D,Справочно!$E39,'Отчет РПЗ(ПЗ)_ПЗИП'!$AO:$AO,8)</f>
        <v>0</v>
      </c>
      <c r="AX74" s="445" t="str">
        <f t="shared" si="117"/>
        <v>НД</v>
      </c>
      <c r="AY74" s="303" t="str">
        <f t="shared" si="92"/>
        <v>НД</v>
      </c>
      <c r="AZ74" s="504">
        <f>SUMIFS('Отчет РПЗ(ПЗ)_ПЗИП'!$W:$W,'Отчет РПЗ(ПЗ)_ПЗИП'!$D:$D,Справочно!$E39,'Отчет РПЗ(ПЗ)_ПЗИП'!$N:$N,"&gt;=01.09.2016",'Отчет РПЗ(ПЗ)_ПЗИП'!$N:$N,"&lt;=30.09.2016",'Отчет РПЗ(ПЗ)_ПЗИП'!$AG:$AG,"&gt;0")</f>
        <v>0</v>
      </c>
      <c r="BA74" s="400">
        <f>SUMIFS('Отчет РПЗ(ПЗ)_ПЗИП'!$AG:$AG,'Отчет РПЗ(ПЗ)_ПЗИП'!$D:$D,Справочно!$E39,'Отчет РПЗ(ПЗ)_ПЗИП'!$AO:$AO,9)</f>
        <v>0</v>
      </c>
      <c r="BB74" s="445" t="str">
        <f t="shared" si="118"/>
        <v>НД</v>
      </c>
      <c r="BC74" s="303" t="str">
        <f t="shared" si="93"/>
        <v>НД</v>
      </c>
      <c r="BD74" s="503">
        <f t="shared" si="119"/>
        <v>0</v>
      </c>
      <c r="BE74" s="402">
        <f t="shared" si="120"/>
        <v>0</v>
      </c>
      <c r="BF74" s="402" t="str">
        <f t="shared" si="121"/>
        <v>НД</v>
      </c>
      <c r="BG74" s="305" t="str">
        <f t="shared" si="94"/>
        <v>НД</v>
      </c>
      <c r="BH74" s="493">
        <f>SUMIFS('Отчет РПЗ(ПЗ)_ПЗИП'!$W:$W,'Отчет РПЗ(ПЗ)_ПЗИП'!$D:$D,Справочно!$E39,'Отчет РПЗ(ПЗ)_ПЗИП'!$N:$N,"&gt;=01.10.2016",'Отчет РПЗ(ПЗ)_ПЗИП'!$N:$N,"&lt;=31.10.2016",'Отчет РПЗ(ПЗ)_ПЗИП'!$AG:$AG,"&gt;0")</f>
        <v>0</v>
      </c>
      <c r="BI74" s="403">
        <f>SUMIFS('Отчет РПЗ(ПЗ)_ПЗИП'!$AG:$AG,'Отчет РПЗ(ПЗ)_ПЗИП'!$D:$D,Справочно!$E39,'Отчет РПЗ(ПЗ)_ПЗИП'!$AO:$AO,10)</f>
        <v>0</v>
      </c>
      <c r="BJ74" s="447" t="str">
        <f t="shared" si="122"/>
        <v>НД</v>
      </c>
      <c r="BK74" s="307" t="str">
        <f t="shared" si="95"/>
        <v>НД</v>
      </c>
      <c r="BL74" s="508">
        <f>SUMIFS('Отчет РПЗ(ПЗ)_ПЗИП'!$W:$W,'Отчет РПЗ(ПЗ)_ПЗИП'!$D:$D,Справочно!$E39,'Отчет РПЗ(ПЗ)_ПЗИП'!$N:$N,"&gt;=01.11.2016",'Отчет РПЗ(ПЗ)_ПЗИП'!$N:$N,"&lt;=30.11.2016",'Отчет РПЗ(ПЗ)_ПЗИП'!$AG:$AG,"&gt;0")</f>
        <v>0</v>
      </c>
      <c r="BM74" s="403">
        <f>SUMIFS('Отчет РПЗ(ПЗ)_ПЗИП'!$AG:$AG,'Отчет РПЗ(ПЗ)_ПЗИП'!$D:$D,Справочно!$E39,'Отчет РПЗ(ПЗ)_ПЗИП'!$AO:$AO,11)</f>
        <v>0</v>
      </c>
      <c r="BN74" s="447" t="str">
        <f t="shared" si="123"/>
        <v>НД</v>
      </c>
      <c r="BO74" s="307" t="str">
        <f t="shared" si="96"/>
        <v>НД</v>
      </c>
      <c r="BP74" s="508">
        <f>SUMIFS('Отчет РПЗ(ПЗ)_ПЗИП'!$W:$W,'Отчет РПЗ(ПЗ)_ПЗИП'!$D:$D,Справочно!$E39,'Отчет РПЗ(ПЗ)_ПЗИП'!$N:$N,"&gt;=01.12.2016",'Отчет РПЗ(ПЗ)_ПЗИП'!$N:$N,"&lt;=31.12.2016",'Отчет РПЗ(ПЗ)_ПЗИП'!$AG:$AG,"&gt;0")</f>
        <v>0</v>
      </c>
      <c r="BQ74" s="403">
        <f>SUMIFS('Отчет РПЗ(ПЗ)_ПЗИП'!$AG:$AG,'Отчет РПЗ(ПЗ)_ПЗИП'!$D:$D,Справочно!$E39,'Отчет РПЗ(ПЗ)_ПЗИП'!$AO:$AO,12)</f>
        <v>0</v>
      </c>
      <c r="BR74" s="447" t="str">
        <f t="shared" si="124"/>
        <v>НД</v>
      </c>
      <c r="BS74" s="309" t="str">
        <f t="shared" si="97"/>
        <v>НД</v>
      </c>
      <c r="BT74" s="503">
        <f t="shared" si="125"/>
        <v>0</v>
      </c>
      <c r="BU74" s="405">
        <f t="shared" si="126"/>
        <v>0</v>
      </c>
      <c r="BV74" s="405" t="str">
        <f t="shared" si="127"/>
        <v>НД</v>
      </c>
      <c r="BW74" s="310" t="str">
        <f t="shared" si="98"/>
        <v>НД</v>
      </c>
    </row>
    <row r="75" spans="2:75" ht="13.5" thickBot="1" x14ac:dyDescent="0.25">
      <c r="B75" s="58" t="str">
        <f>Справочно!E40</f>
        <v>АО "РТ-Авто"</v>
      </c>
      <c r="C75" s="96" t="e">
        <f>ПП!B63</f>
        <v>#REF!</v>
      </c>
      <c r="D75" s="491" t="e">
        <f>ПП!C63</f>
        <v>#REF!</v>
      </c>
      <c r="E75" s="516" t="e">
        <f>ПП!D63</f>
        <v>#REF!</v>
      </c>
      <c r="F75" s="356">
        <f>COUNTIFS('Отчет РПЗ(ПЗ)_ПЗИП'!$AG:$AG,"&gt;0",'Отчет РПЗ(ПЗ)_ПЗИП'!$D:$D,Справочно!$E40)</f>
        <v>0</v>
      </c>
      <c r="G75" s="517" t="e">
        <f t="shared" si="99"/>
        <v>#DIV/0!</v>
      </c>
      <c r="H75" s="518">
        <f>SUMIF('Отчет РПЗ(ПЗ)_ПЗИП'!$D:$D,Справочно!$E40,'Отчет РПЗ(ПЗ)_ПЗИП'!$AG:$AG)</f>
        <v>0</v>
      </c>
      <c r="I75" s="519">
        <f t="shared" si="100"/>
        <v>0</v>
      </c>
      <c r="J75" s="296" t="e">
        <f t="shared" si="101"/>
        <v>#DIV/0!</v>
      </c>
      <c r="L75" s="509">
        <f>SUMIFS('Отчет РПЗ(ПЗ)_ПЗИП'!$W:$W,'Отчет РПЗ(ПЗ)_ПЗИП'!$D:$D,Справочно!$E40,'Отчет РПЗ(ПЗ)_ПЗИП'!$N:$N,"&gt;=01.01.2016",'Отчет РПЗ(ПЗ)_ПЗИП'!$N:$N,"&lt;=31.01.2016",'Отчет РПЗ(ПЗ)_ПЗИП'!$AG:$AG,"&gt;0")</f>
        <v>0</v>
      </c>
      <c r="M75" s="394">
        <f>SUMIFS('Отчет РПЗ(ПЗ)_ПЗИП'!$AG:$AG,'Отчет РПЗ(ПЗ)_ПЗИП'!$D:$D,Справочно!$E40,'Отчет РПЗ(ПЗ)_ПЗИП'!$AO:$AO,1)</f>
        <v>0</v>
      </c>
      <c r="N75" s="406" t="str">
        <f t="shared" si="102"/>
        <v>НД</v>
      </c>
      <c r="O75" s="297" t="str">
        <f t="shared" si="103"/>
        <v>НД</v>
      </c>
      <c r="P75" s="504">
        <f>SUMIFS('Отчет РПЗ(ПЗ)_ПЗИП'!$W:$W,'Отчет РПЗ(ПЗ)_ПЗИП'!$D:$D,Справочно!$E40,'Отчет РПЗ(ПЗ)_ПЗИП'!$N:$N,"&gt;=01.02.2016",'Отчет РПЗ(ПЗ)_ПЗИП'!$N:$N,"&lt;=29.02.2016",'Отчет РПЗ(ПЗ)_ПЗИП'!$AG:$AG,"&gt;0")</f>
        <v>0</v>
      </c>
      <c r="Q75" s="394">
        <f>SUMIFS('Отчет РПЗ(ПЗ)_ПЗИП'!$AG:$AG,'Отчет РПЗ(ПЗ)_ПЗИП'!$D:$D,Справочно!$E40,'Отчет РПЗ(ПЗ)_ПЗИП'!$AO:$AO,2)</f>
        <v>0</v>
      </c>
      <c r="R75" s="406" t="str">
        <f t="shared" si="104"/>
        <v>НД</v>
      </c>
      <c r="S75" s="297" t="str">
        <f t="shared" si="105"/>
        <v>НД</v>
      </c>
      <c r="T75" s="504">
        <f>SUMIFS('Отчет РПЗ(ПЗ)_ПЗИП'!$W:$W,'Отчет РПЗ(ПЗ)_ПЗИП'!$D:$D,Справочно!$E40,'Отчет РПЗ(ПЗ)_ПЗИП'!$N:$N,"&gt;=01.03.2016",'Отчет РПЗ(ПЗ)_ПЗИП'!$N:$N,"&lt;=31.03.2016",'Отчет РПЗ(ПЗ)_ПЗИП'!$AG:$AG,"&gt;0")</f>
        <v>0</v>
      </c>
      <c r="U75" s="394">
        <f>SUMIFS('Отчет РПЗ(ПЗ)_ПЗИП'!$AG:$AG,'Отчет РПЗ(ПЗ)_ПЗИП'!$D:$D,Справочно!$E40,'Отчет РПЗ(ПЗ)_ПЗИП'!$AO:$AO,3)</f>
        <v>0</v>
      </c>
      <c r="V75" s="406" t="str">
        <f t="shared" si="106"/>
        <v>НД</v>
      </c>
      <c r="W75" s="297" t="str">
        <f t="shared" si="85"/>
        <v>НД</v>
      </c>
      <c r="X75" s="503">
        <f t="shared" si="107"/>
        <v>0</v>
      </c>
      <c r="Y75" s="396">
        <f t="shared" si="108"/>
        <v>0</v>
      </c>
      <c r="Z75" s="396" t="str">
        <f t="shared" si="109"/>
        <v>НД</v>
      </c>
      <c r="AA75" s="299" t="str">
        <f t="shared" si="86"/>
        <v>НД</v>
      </c>
      <c r="AB75" s="509">
        <f>SUMIFS('Отчет РПЗ(ПЗ)_ПЗИП'!$W:$W,'Отчет РПЗ(ПЗ)_ПЗИП'!$D:$D,Справочно!$E40,'Отчет РПЗ(ПЗ)_ПЗИП'!$N:$N,"&gt;=01.04.2016",'Отчет РПЗ(ПЗ)_ПЗИП'!$N:$N,"&lt;=30.04.2016",'Отчет РПЗ(ПЗ)_ПЗИП'!$AG:$AG,"&gt;0")</f>
        <v>0</v>
      </c>
      <c r="AC75" s="397">
        <f>SUMIFS('Отчет РПЗ(ПЗ)_ПЗИП'!$AG:$AG,'Отчет РПЗ(ПЗ)_ПЗИП'!$D:$D,Справочно!$E40,'Отчет РПЗ(ПЗ)_ПЗИП'!$AO:$AO,4)</f>
        <v>0</v>
      </c>
      <c r="AD75" s="397" t="str">
        <f t="shared" si="110"/>
        <v>НД</v>
      </c>
      <c r="AE75" s="298" t="str">
        <f t="shared" si="87"/>
        <v>НД</v>
      </c>
      <c r="AF75" s="508">
        <f>SUMIFS('Отчет РПЗ(ПЗ)_ПЗИП'!$W:$W,'Отчет РПЗ(ПЗ)_ПЗИП'!$D:$D,Справочно!$E40,'Отчет РПЗ(ПЗ)_ПЗИП'!$N:$N,"&gt;=01.05.2016",'Отчет РПЗ(ПЗ)_ПЗИП'!$N:$N,"&lt;=31.05.2016",'Отчет РПЗ(ПЗ)_ПЗИП'!$AG:$AG,"&gt;0")</f>
        <v>0</v>
      </c>
      <c r="AG75" s="397">
        <f>SUMIFS('Отчет РПЗ(ПЗ)_ПЗИП'!$AG:$AG,'Отчет РПЗ(ПЗ)_ПЗИП'!$D:$D,Справочно!$E40,'Отчет РПЗ(ПЗ)_ПЗИП'!$AO:$AO,5)</f>
        <v>0</v>
      </c>
      <c r="AH75" s="397" t="str">
        <f t="shared" si="111"/>
        <v>НД</v>
      </c>
      <c r="AI75" s="298" t="str">
        <f t="shared" si="88"/>
        <v>НД</v>
      </c>
      <c r="AJ75" s="508">
        <f>SUMIFS('Отчет РПЗ(ПЗ)_ПЗИП'!$W:$W,'Отчет РПЗ(ПЗ)_ПЗИП'!$D:$D,Справочно!$E40,'Отчет РПЗ(ПЗ)_ПЗИП'!$N:$N,"&gt;=01.06.2016",'Отчет РПЗ(ПЗ)_ПЗИП'!$N:$N,"&lt;=30.06.2016",'Отчет РПЗ(ПЗ)_ПЗИП'!$AG:$AG,"&gt;0")</f>
        <v>0</v>
      </c>
      <c r="AK75" s="397">
        <f>SUMIFS('Отчет РПЗ(ПЗ)_ПЗИП'!$AG:$AG,'Отчет РПЗ(ПЗ)_ПЗИП'!$D:$D,Справочно!$E40,'Отчет РПЗ(ПЗ)_ПЗИП'!$AO:$AO,6)</f>
        <v>0</v>
      </c>
      <c r="AL75" s="397" t="str">
        <f t="shared" si="112"/>
        <v>НД</v>
      </c>
      <c r="AM75" s="298" t="str">
        <f t="shared" si="89"/>
        <v>НД</v>
      </c>
      <c r="AN75" s="503">
        <f t="shared" si="113"/>
        <v>0</v>
      </c>
      <c r="AO75" s="399">
        <f t="shared" si="114"/>
        <v>0</v>
      </c>
      <c r="AP75" s="399" t="str">
        <f t="shared" si="115"/>
        <v>НД</v>
      </c>
      <c r="AQ75" s="301" t="str">
        <f t="shared" si="90"/>
        <v>НД</v>
      </c>
      <c r="AR75" s="509">
        <f>SUMIFS('Отчет РПЗ(ПЗ)_ПЗИП'!$W:$W,'Отчет РПЗ(ПЗ)_ПЗИП'!$D:$D,Справочно!$E40,'Отчет РПЗ(ПЗ)_ПЗИП'!$N:$N,"&gt;=01.07.2016",'Отчет РПЗ(ПЗ)_ПЗИП'!$N:$N,"&lt;=31.07.2016",'Отчет РПЗ(ПЗ)_ПЗИП'!$AG:$AG,"&gt;0")</f>
        <v>0</v>
      </c>
      <c r="AS75" s="400">
        <f>SUMIFS('Отчет РПЗ(ПЗ)_ПЗИП'!$AG:$AG,'Отчет РПЗ(ПЗ)_ПЗИП'!$D:$D,Справочно!$E40,'Отчет РПЗ(ПЗ)_ПЗИП'!$AO:$AO,7)</f>
        <v>0</v>
      </c>
      <c r="AT75" s="445" t="str">
        <f t="shared" si="116"/>
        <v>НД</v>
      </c>
      <c r="AU75" s="303" t="str">
        <f t="shared" si="91"/>
        <v>НД</v>
      </c>
      <c r="AV75" s="504">
        <f>SUMIFS('Отчет РПЗ(ПЗ)_ПЗИП'!$W:$W,'Отчет РПЗ(ПЗ)_ПЗИП'!$D:$D,Справочно!$E40,'Отчет РПЗ(ПЗ)_ПЗИП'!$N:$N,"&gt;=01.08.2016",'Отчет РПЗ(ПЗ)_ПЗИП'!$N:$N,"&lt;=31.08.2016",'Отчет РПЗ(ПЗ)_ПЗИП'!$AG:$AG,"&gt;0")</f>
        <v>0</v>
      </c>
      <c r="AW75" s="400">
        <f>SUMIFS('Отчет РПЗ(ПЗ)_ПЗИП'!$AG:$AG,'Отчет РПЗ(ПЗ)_ПЗИП'!$D:$D,Справочно!$E40,'Отчет РПЗ(ПЗ)_ПЗИП'!$AO:$AO,8)</f>
        <v>0</v>
      </c>
      <c r="AX75" s="445" t="str">
        <f t="shared" si="117"/>
        <v>НД</v>
      </c>
      <c r="AY75" s="303" t="str">
        <f t="shared" si="92"/>
        <v>НД</v>
      </c>
      <c r="AZ75" s="504">
        <f>SUMIFS('Отчет РПЗ(ПЗ)_ПЗИП'!$W:$W,'Отчет РПЗ(ПЗ)_ПЗИП'!$D:$D,Справочно!$E40,'Отчет РПЗ(ПЗ)_ПЗИП'!$N:$N,"&gt;=01.09.2016",'Отчет РПЗ(ПЗ)_ПЗИП'!$N:$N,"&lt;=30.09.2016",'Отчет РПЗ(ПЗ)_ПЗИП'!$AG:$AG,"&gt;0")</f>
        <v>0</v>
      </c>
      <c r="BA75" s="400">
        <f>SUMIFS('Отчет РПЗ(ПЗ)_ПЗИП'!$AG:$AG,'Отчет РПЗ(ПЗ)_ПЗИП'!$D:$D,Справочно!$E40,'Отчет РПЗ(ПЗ)_ПЗИП'!$AO:$AO,9)</f>
        <v>0</v>
      </c>
      <c r="BB75" s="445" t="str">
        <f t="shared" si="118"/>
        <v>НД</v>
      </c>
      <c r="BC75" s="303" t="str">
        <f t="shared" si="93"/>
        <v>НД</v>
      </c>
      <c r="BD75" s="503">
        <f t="shared" si="119"/>
        <v>0</v>
      </c>
      <c r="BE75" s="402">
        <f t="shared" si="120"/>
        <v>0</v>
      </c>
      <c r="BF75" s="402" t="str">
        <f t="shared" si="121"/>
        <v>НД</v>
      </c>
      <c r="BG75" s="305" t="str">
        <f t="shared" si="94"/>
        <v>НД</v>
      </c>
      <c r="BH75" s="493">
        <f>SUMIFS('Отчет РПЗ(ПЗ)_ПЗИП'!$W:$W,'Отчет РПЗ(ПЗ)_ПЗИП'!$D:$D,Справочно!$E40,'Отчет РПЗ(ПЗ)_ПЗИП'!$N:$N,"&gt;=01.10.2016",'Отчет РПЗ(ПЗ)_ПЗИП'!$N:$N,"&lt;=31.10.2016",'Отчет РПЗ(ПЗ)_ПЗИП'!$AG:$AG,"&gt;0")</f>
        <v>0</v>
      </c>
      <c r="BI75" s="403">
        <f>SUMIFS('Отчет РПЗ(ПЗ)_ПЗИП'!$AG:$AG,'Отчет РПЗ(ПЗ)_ПЗИП'!$D:$D,Справочно!$E40,'Отчет РПЗ(ПЗ)_ПЗИП'!$AO:$AO,10)</f>
        <v>0</v>
      </c>
      <c r="BJ75" s="447" t="str">
        <f t="shared" si="122"/>
        <v>НД</v>
      </c>
      <c r="BK75" s="307" t="str">
        <f t="shared" si="95"/>
        <v>НД</v>
      </c>
      <c r="BL75" s="508">
        <f>SUMIFS('Отчет РПЗ(ПЗ)_ПЗИП'!$W:$W,'Отчет РПЗ(ПЗ)_ПЗИП'!$D:$D,Справочно!$E40,'Отчет РПЗ(ПЗ)_ПЗИП'!$N:$N,"&gt;=01.11.2016",'Отчет РПЗ(ПЗ)_ПЗИП'!$N:$N,"&lt;=30.11.2016",'Отчет РПЗ(ПЗ)_ПЗИП'!$AG:$AG,"&gt;0")</f>
        <v>0</v>
      </c>
      <c r="BM75" s="403">
        <f>SUMIFS('Отчет РПЗ(ПЗ)_ПЗИП'!$AG:$AG,'Отчет РПЗ(ПЗ)_ПЗИП'!$D:$D,Справочно!$E40,'Отчет РПЗ(ПЗ)_ПЗИП'!$AO:$AO,11)</f>
        <v>0</v>
      </c>
      <c r="BN75" s="447" t="str">
        <f t="shared" si="123"/>
        <v>НД</v>
      </c>
      <c r="BO75" s="307" t="str">
        <f t="shared" si="96"/>
        <v>НД</v>
      </c>
      <c r="BP75" s="508">
        <f>SUMIFS('Отчет РПЗ(ПЗ)_ПЗИП'!$W:$W,'Отчет РПЗ(ПЗ)_ПЗИП'!$D:$D,Справочно!$E40,'Отчет РПЗ(ПЗ)_ПЗИП'!$N:$N,"&gt;=01.12.2016",'Отчет РПЗ(ПЗ)_ПЗИП'!$N:$N,"&lt;=31.12.2016",'Отчет РПЗ(ПЗ)_ПЗИП'!$AG:$AG,"&gt;0")</f>
        <v>0</v>
      </c>
      <c r="BQ75" s="403">
        <f>SUMIFS('Отчет РПЗ(ПЗ)_ПЗИП'!$AG:$AG,'Отчет РПЗ(ПЗ)_ПЗИП'!$D:$D,Справочно!$E40,'Отчет РПЗ(ПЗ)_ПЗИП'!$AO:$AO,12)</f>
        <v>0</v>
      </c>
      <c r="BR75" s="447" t="str">
        <f t="shared" si="124"/>
        <v>НД</v>
      </c>
      <c r="BS75" s="309" t="str">
        <f t="shared" si="97"/>
        <v>НД</v>
      </c>
      <c r="BT75" s="503">
        <f t="shared" si="125"/>
        <v>0</v>
      </c>
      <c r="BU75" s="405">
        <f t="shared" si="126"/>
        <v>0</v>
      </c>
      <c r="BV75" s="405" t="str">
        <f t="shared" si="127"/>
        <v>НД</v>
      </c>
      <c r="BW75" s="310" t="str">
        <f t="shared" si="98"/>
        <v>НД</v>
      </c>
    </row>
    <row r="76" spans="2:75" ht="13.5" thickBot="1" x14ac:dyDescent="0.25">
      <c r="B76" s="58" t="str">
        <f>Справочно!E41</f>
        <v>АО "Национальная иммунобиологическая компания"</v>
      </c>
      <c r="C76" s="96" t="e">
        <f>ПП!B64</f>
        <v>#REF!</v>
      </c>
      <c r="D76" s="491" t="e">
        <f>ПП!C64</f>
        <v>#REF!</v>
      </c>
      <c r="E76" s="516" t="e">
        <f>ПП!D64</f>
        <v>#REF!</v>
      </c>
      <c r="F76" s="356">
        <f>COUNTIFS('Отчет РПЗ(ПЗ)_ПЗИП'!$AG:$AG,"&gt;0",'Отчет РПЗ(ПЗ)_ПЗИП'!$D:$D,Справочно!$E41)</f>
        <v>0</v>
      </c>
      <c r="G76" s="517" t="e">
        <f t="shared" si="99"/>
        <v>#DIV/0!</v>
      </c>
      <c r="H76" s="518">
        <f>SUMIF('Отчет РПЗ(ПЗ)_ПЗИП'!$D:$D,Справочно!$E41,'Отчет РПЗ(ПЗ)_ПЗИП'!$AG:$AG)</f>
        <v>0</v>
      </c>
      <c r="I76" s="519">
        <f t="shared" si="100"/>
        <v>0</v>
      </c>
      <c r="J76" s="296" t="e">
        <f t="shared" si="101"/>
        <v>#DIV/0!</v>
      </c>
      <c r="L76" s="509">
        <f>SUMIFS('Отчет РПЗ(ПЗ)_ПЗИП'!$W:$W,'Отчет РПЗ(ПЗ)_ПЗИП'!$D:$D,Справочно!$E41,'Отчет РПЗ(ПЗ)_ПЗИП'!$N:$N,"&gt;=01.01.2016",'Отчет РПЗ(ПЗ)_ПЗИП'!$N:$N,"&lt;=31.01.2016",'Отчет РПЗ(ПЗ)_ПЗИП'!$AG:$AG,"&gt;0")</f>
        <v>0</v>
      </c>
      <c r="M76" s="394">
        <f>SUMIFS('Отчет РПЗ(ПЗ)_ПЗИП'!$AG:$AG,'Отчет РПЗ(ПЗ)_ПЗИП'!$D:$D,Справочно!$E41,'Отчет РПЗ(ПЗ)_ПЗИП'!$AO:$AO,1)</f>
        <v>0</v>
      </c>
      <c r="N76" s="406" t="str">
        <f t="shared" si="102"/>
        <v>НД</v>
      </c>
      <c r="O76" s="297" t="str">
        <f t="shared" si="103"/>
        <v>НД</v>
      </c>
      <c r="P76" s="504">
        <f>SUMIFS('Отчет РПЗ(ПЗ)_ПЗИП'!$W:$W,'Отчет РПЗ(ПЗ)_ПЗИП'!$D:$D,Справочно!$E41,'Отчет РПЗ(ПЗ)_ПЗИП'!$N:$N,"&gt;=01.02.2016",'Отчет РПЗ(ПЗ)_ПЗИП'!$N:$N,"&lt;=29.02.2016",'Отчет РПЗ(ПЗ)_ПЗИП'!$AG:$AG,"&gt;0")</f>
        <v>0</v>
      </c>
      <c r="Q76" s="394">
        <f>SUMIFS('Отчет РПЗ(ПЗ)_ПЗИП'!$AG:$AG,'Отчет РПЗ(ПЗ)_ПЗИП'!$D:$D,Справочно!$E41,'Отчет РПЗ(ПЗ)_ПЗИП'!$AO:$AO,2)</f>
        <v>0</v>
      </c>
      <c r="R76" s="406" t="str">
        <f t="shared" si="104"/>
        <v>НД</v>
      </c>
      <c r="S76" s="297" t="str">
        <f t="shared" si="105"/>
        <v>НД</v>
      </c>
      <c r="T76" s="504">
        <f>SUMIFS('Отчет РПЗ(ПЗ)_ПЗИП'!$W:$W,'Отчет РПЗ(ПЗ)_ПЗИП'!$D:$D,Справочно!$E41,'Отчет РПЗ(ПЗ)_ПЗИП'!$N:$N,"&gt;=01.03.2016",'Отчет РПЗ(ПЗ)_ПЗИП'!$N:$N,"&lt;=31.03.2016",'Отчет РПЗ(ПЗ)_ПЗИП'!$AG:$AG,"&gt;0")</f>
        <v>0</v>
      </c>
      <c r="U76" s="394">
        <f>SUMIFS('Отчет РПЗ(ПЗ)_ПЗИП'!$AG:$AG,'Отчет РПЗ(ПЗ)_ПЗИП'!$D:$D,Справочно!$E41,'Отчет РПЗ(ПЗ)_ПЗИП'!$AO:$AO,3)</f>
        <v>0</v>
      </c>
      <c r="V76" s="406" t="str">
        <f t="shared" si="106"/>
        <v>НД</v>
      </c>
      <c r="W76" s="297" t="str">
        <f t="shared" si="85"/>
        <v>НД</v>
      </c>
      <c r="X76" s="503">
        <f t="shared" si="107"/>
        <v>0</v>
      </c>
      <c r="Y76" s="396">
        <f t="shared" si="108"/>
        <v>0</v>
      </c>
      <c r="Z76" s="396" t="str">
        <f t="shared" si="109"/>
        <v>НД</v>
      </c>
      <c r="AA76" s="299" t="str">
        <f t="shared" si="86"/>
        <v>НД</v>
      </c>
      <c r="AB76" s="509">
        <f>SUMIFS('Отчет РПЗ(ПЗ)_ПЗИП'!$W:$W,'Отчет РПЗ(ПЗ)_ПЗИП'!$D:$D,Справочно!$E41,'Отчет РПЗ(ПЗ)_ПЗИП'!$N:$N,"&gt;=01.04.2016",'Отчет РПЗ(ПЗ)_ПЗИП'!$N:$N,"&lt;=30.04.2016",'Отчет РПЗ(ПЗ)_ПЗИП'!$AG:$AG,"&gt;0")</f>
        <v>0</v>
      </c>
      <c r="AC76" s="397">
        <f>SUMIFS('Отчет РПЗ(ПЗ)_ПЗИП'!$AG:$AG,'Отчет РПЗ(ПЗ)_ПЗИП'!$D:$D,Справочно!$E41,'Отчет РПЗ(ПЗ)_ПЗИП'!$AO:$AO,4)</f>
        <v>0</v>
      </c>
      <c r="AD76" s="397" t="str">
        <f t="shared" si="110"/>
        <v>НД</v>
      </c>
      <c r="AE76" s="298" t="str">
        <f t="shared" si="87"/>
        <v>НД</v>
      </c>
      <c r="AF76" s="508">
        <f>SUMIFS('Отчет РПЗ(ПЗ)_ПЗИП'!$W:$W,'Отчет РПЗ(ПЗ)_ПЗИП'!$D:$D,Справочно!$E41,'Отчет РПЗ(ПЗ)_ПЗИП'!$N:$N,"&gt;=01.05.2016",'Отчет РПЗ(ПЗ)_ПЗИП'!$N:$N,"&lt;=31.05.2016",'Отчет РПЗ(ПЗ)_ПЗИП'!$AG:$AG,"&gt;0")</f>
        <v>0</v>
      </c>
      <c r="AG76" s="397">
        <f>SUMIFS('Отчет РПЗ(ПЗ)_ПЗИП'!$AG:$AG,'Отчет РПЗ(ПЗ)_ПЗИП'!$D:$D,Справочно!$E41,'Отчет РПЗ(ПЗ)_ПЗИП'!$AO:$AO,5)</f>
        <v>0</v>
      </c>
      <c r="AH76" s="397" t="str">
        <f t="shared" si="111"/>
        <v>НД</v>
      </c>
      <c r="AI76" s="298" t="str">
        <f t="shared" si="88"/>
        <v>НД</v>
      </c>
      <c r="AJ76" s="508">
        <f>SUMIFS('Отчет РПЗ(ПЗ)_ПЗИП'!$W:$W,'Отчет РПЗ(ПЗ)_ПЗИП'!$D:$D,Справочно!$E41,'Отчет РПЗ(ПЗ)_ПЗИП'!$N:$N,"&gt;=01.06.2016",'Отчет РПЗ(ПЗ)_ПЗИП'!$N:$N,"&lt;=30.06.2016",'Отчет РПЗ(ПЗ)_ПЗИП'!$AG:$AG,"&gt;0")</f>
        <v>0</v>
      </c>
      <c r="AK76" s="397">
        <f>SUMIFS('Отчет РПЗ(ПЗ)_ПЗИП'!$AG:$AG,'Отчет РПЗ(ПЗ)_ПЗИП'!$D:$D,Справочно!$E41,'Отчет РПЗ(ПЗ)_ПЗИП'!$AO:$AO,6)</f>
        <v>0</v>
      </c>
      <c r="AL76" s="397" t="str">
        <f t="shared" si="112"/>
        <v>НД</v>
      </c>
      <c r="AM76" s="298" t="str">
        <f t="shared" si="89"/>
        <v>НД</v>
      </c>
      <c r="AN76" s="503">
        <f t="shared" si="113"/>
        <v>0</v>
      </c>
      <c r="AO76" s="399">
        <f t="shared" si="114"/>
        <v>0</v>
      </c>
      <c r="AP76" s="399" t="str">
        <f t="shared" si="115"/>
        <v>НД</v>
      </c>
      <c r="AQ76" s="301" t="str">
        <f t="shared" si="90"/>
        <v>НД</v>
      </c>
      <c r="AR76" s="509">
        <f>SUMIFS('Отчет РПЗ(ПЗ)_ПЗИП'!$W:$W,'Отчет РПЗ(ПЗ)_ПЗИП'!$D:$D,Справочно!$E41,'Отчет РПЗ(ПЗ)_ПЗИП'!$N:$N,"&gt;=01.07.2016",'Отчет РПЗ(ПЗ)_ПЗИП'!$N:$N,"&lt;=31.07.2016",'Отчет РПЗ(ПЗ)_ПЗИП'!$AG:$AG,"&gt;0")</f>
        <v>0</v>
      </c>
      <c r="AS76" s="400">
        <f>SUMIFS('Отчет РПЗ(ПЗ)_ПЗИП'!$AG:$AG,'Отчет РПЗ(ПЗ)_ПЗИП'!$D:$D,Справочно!$E41,'Отчет РПЗ(ПЗ)_ПЗИП'!$AO:$AO,7)</f>
        <v>0</v>
      </c>
      <c r="AT76" s="445" t="str">
        <f t="shared" si="116"/>
        <v>НД</v>
      </c>
      <c r="AU76" s="303" t="str">
        <f t="shared" si="91"/>
        <v>НД</v>
      </c>
      <c r="AV76" s="504">
        <f>SUMIFS('Отчет РПЗ(ПЗ)_ПЗИП'!$W:$W,'Отчет РПЗ(ПЗ)_ПЗИП'!$D:$D,Справочно!$E41,'Отчет РПЗ(ПЗ)_ПЗИП'!$N:$N,"&gt;=01.08.2016",'Отчет РПЗ(ПЗ)_ПЗИП'!$N:$N,"&lt;=31.08.2016",'Отчет РПЗ(ПЗ)_ПЗИП'!$AG:$AG,"&gt;0")</f>
        <v>0</v>
      </c>
      <c r="AW76" s="400">
        <f>SUMIFS('Отчет РПЗ(ПЗ)_ПЗИП'!$AG:$AG,'Отчет РПЗ(ПЗ)_ПЗИП'!$D:$D,Справочно!$E41,'Отчет РПЗ(ПЗ)_ПЗИП'!$AO:$AO,8)</f>
        <v>0</v>
      </c>
      <c r="AX76" s="445" t="str">
        <f t="shared" si="117"/>
        <v>НД</v>
      </c>
      <c r="AY76" s="303" t="str">
        <f t="shared" si="92"/>
        <v>НД</v>
      </c>
      <c r="AZ76" s="504">
        <f>SUMIFS('Отчет РПЗ(ПЗ)_ПЗИП'!$W:$W,'Отчет РПЗ(ПЗ)_ПЗИП'!$D:$D,Справочно!$E41,'Отчет РПЗ(ПЗ)_ПЗИП'!$N:$N,"&gt;=01.09.2016",'Отчет РПЗ(ПЗ)_ПЗИП'!$N:$N,"&lt;=30.09.2016",'Отчет РПЗ(ПЗ)_ПЗИП'!$AG:$AG,"&gt;0")</f>
        <v>0</v>
      </c>
      <c r="BA76" s="400">
        <f>SUMIFS('Отчет РПЗ(ПЗ)_ПЗИП'!$AG:$AG,'Отчет РПЗ(ПЗ)_ПЗИП'!$D:$D,Справочно!$E41,'Отчет РПЗ(ПЗ)_ПЗИП'!$AO:$AO,9)</f>
        <v>0</v>
      </c>
      <c r="BB76" s="445" t="str">
        <f t="shared" si="118"/>
        <v>НД</v>
      </c>
      <c r="BC76" s="303" t="str">
        <f t="shared" si="93"/>
        <v>НД</v>
      </c>
      <c r="BD76" s="503">
        <f t="shared" si="119"/>
        <v>0</v>
      </c>
      <c r="BE76" s="402">
        <f t="shared" si="120"/>
        <v>0</v>
      </c>
      <c r="BF76" s="402" t="str">
        <f t="shared" si="121"/>
        <v>НД</v>
      </c>
      <c r="BG76" s="305" t="str">
        <f t="shared" si="94"/>
        <v>НД</v>
      </c>
      <c r="BH76" s="493">
        <f>SUMIFS('Отчет РПЗ(ПЗ)_ПЗИП'!$W:$W,'Отчет РПЗ(ПЗ)_ПЗИП'!$D:$D,Справочно!$E41,'Отчет РПЗ(ПЗ)_ПЗИП'!$N:$N,"&gt;=01.10.2016",'Отчет РПЗ(ПЗ)_ПЗИП'!$N:$N,"&lt;=31.10.2016",'Отчет РПЗ(ПЗ)_ПЗИП'!$AG:$AG,"&gt;0")</f>
        <v>0</v>
      </c>
      <c r="BI76" s="403">
        <f>SUMIFS('Отчет РПЗ(ПЗ)_ПЗИП'!$AG:$AG,'Отчет РПЗ(ПЗ)_ПЗИП'!$D:$D,Справочно!$E41,'Отчет РПЗ(ПЗ)_ПЗИП'!$AO:$AO,10)</f>
        <v>0</v>
      </c>
      <c r="BJ76" s="447" t="str">
        <f t="shared" si="122"/>
        <v>НД</v>
      </c>
      <c r="BK76" s="307" t="str">
        <f t="shared" si="95"/>
        <v>НД</v>
      </c>
      <c r="BL76" s="508">
        <f>SUMIFS('Отчет РПЗ(ПЗ)_ПЗИП'!$W:$W,'Отчет РПЗ(ПЗ)_ПЗИП'!$D:$D,Справочно!$E41,'Отчет РПЗ(ПЗ)_ПЗИП'!$N:$N,"&gt;=01.11.2016",'Отчет РПЗ(ПЗ)_ПЗИП'!$N:$N,"&lt;=30.11.2016",'Отчет РПЗ(ПЗ)_ПЗИП'!$AG:$AG,"&gt;0")</f>
        <v>0</v>
      </c>
      <c r="BM76" s="403">
        <f>SUMIFS('Отчет РПЗ(ПЗ)_ПЗИП'!$AG:$AG,'Отчет РПЗ(ПЗ)_ПЗИП'!$D:$D,Справочно!$E41,'Отчет РПЗ(ПЗ)_ПЗИП'!$AO:$AO,11)</f>
        <v>0</v>
      </c>
      <c r="BN76" s="447" t="str">
        <f t="shared" si="123"/>
        <v>НД</v>
      </c>
      <c r="BO76" s="307" t="str">
        <f t="shared" si="96"/>
        <v>НД</v>
      </c>
      <c r="BP76" s="508">
        <f>SUMIFS('Отчет РПЗ(ПЗ)_ПЗИП'!$W:$W,'Отчет РПЗ(ПЗ)_ПЗИП'!$D:$D,Справочно!$E41,'Отчет РПЗ(ПЗ)_ПЗИП'!$N:$N,"&gt;=01.12.2016",'Отчет РПЗ(ПЗ)_ПЗИП'!$N:$N,"&lt;=31.12.2016",'Отчет РПЗ(ПЗ)_ПЗИП'!$AG:$AG,"&gt;0")</f>
        <v>0</v>
      </c>
      <c r="BQ76" s="403">
        <f>SUMIFS('Отчет РПЗ(ПЗ)_ПЗИП'!$AG:$AG,'Отчет РПЗ(ПЗ)_ПЗИП'!$D:$D,Справочно!$E41,'Отчет РПЗ(ПЗ)_ПЗИП'!$AO:$AO,12)</f>
        <v>0</v>
      </c>
      <c r="BR76" s="447" t="str">
        <f t="shared" si="124"/>
        <v>НД</v>
      </c>
      <c r="BS76" s="309" t="str">
        <f t="shared" si="97"/>
        <v>НД</v>
      </c>
      <c r="BT76" s="503">
        <f t="shared" si="125"/>
        <v>0</v>
      </c>
      <c r="BU76" s="405">
        <f t="shared" si="126"/>
        <v>0</v>
      </c>
      <c r="BV76" s="405" t="str">
        <f t="shared" si="127"/>
        <v>НД</v>
      </c>
      <c r="BW76" s="310" t="str">
        <f t="shared" si="98"/>
        <v>НД</v>
      </c>
    </row>
    <row r="77" spans="2:75" ht="13.5" thickBot="1" x14ac:dyDescent="0.25">
      <c r="B77" s="58" t="str">
        <f>Справочно!E42</f>
        <v>АО "РТ-Химические технологии и композиционные материалы"</v>
      </c>
      <c r="C77" s="96" t="e">
        <f>ПП!B65</f>
        <v>#REF!</v>
      </c>
      <c r="D77" s="491" t="e">
        <f>ПП!C65</f>
        <v>#REF!</v>
      </c>
      <c r="E77" s="516" t="e">
        <f>ПП!D65</f>
        <v>#REF!</v>
      </c>
      <c r="F77" s="356">
        <f>COUNTIFS('Отчет РПЗ(ПЗ)_ПЗИП'!$AG:$AG,"&gt;0",'Отчет РПЗ(ПЗ)_ПЗИП'!$D:$D,Справочно!$E42)</f>
        <v>0</v>
      </c>
      <c r="G77" s="517" t="e">
        <f t="shared" si="99"/>
        <v>#DIV/0!</v>
      </c>
      <c r="H77" s="518">
        <f>SUMIF('Отчет РПЗ(ПЗ)_ПЗИП'!$D:$D,Справочно!$E42,'Отчет РПЗ(ПЗ)_ПЗИП'!$AG:$AG)</f>
        <v>0</v>
      </c>
      <c r="I77" s="519">
        <f t="shared" si="100"/>
        <v>0</v>
      </c>
      <c r="J77" s="296" t="e">
        <f t="shared" si="101"/>
        <v>#DIV/0!</v>
      </c>
      <c r="L77" s="509">
        <f>SUMIFS('Отчет РПЗ(ПЗ)_ПЗИП'!$W:$W,'Отчет РПЗ(ПЗ)_ПЗИП'!$D:$D,Справочно!$E42,'Отчет РПЗ(ПЗ)_ПЗИП'!$N:$N,"&gt;=01.01.2016",'Отчет РПЗ(ПЗ)_ПЗИП'!$N:$N,"&lt;=31.01.2016",'Отчет РПЗ(ПЗ)_ПЗИП'!$AG:$AG,"&gt;0")</f>
        <v>0</v>
      </c>
      <c r="M77" s="394">
        <f>SUMIFS('Отчет РПЗ(ПЗ)_ПЗИП'!$AG:$AG,'Отчет РПЗ(ПЗ)_ПЗИП'!$D:$D,Справочно!$E42,'Отчет РПЗ(ПЗ)_ПЗИП'!$AO:$AO,1)</f>
        <v>0</v>
      </c>
      <c r="N77" s="406" t="str">
        <f t="shared" si="102"/>
        <v>НД</v>
      </c>
      <c r="O77" s="297" t="str">
        <f t="shared" si="103"/>
        <v>НД</v>
      </c>
      <c r="P77" s="504">
        <f>SUMIFS('Отчет РПЗ(ПЗ)_ПЗИП'!$W:$W,'Отчет РПЗ(ПЗ)_ПЗИП'!$D:$D,Справочно!$E42,'Отчет РПЗ(ПЗ)_ПЗИП'!$N:$N,"&gt;=01.02.2016",'Отчет РПЗ(ПЗ)_ПЗИП'!$N:$N,"&lt;=29.02.2016",'Отчет РПЗ(ПЗ)_ПЗИП'!$AG:$AG,"&gt;0")</f>
        <v>0</v>
      </c>
      <c r="Q77" s="394">
        <f>SUMIFS('Отчет РПЗ(ПЗ)_ПЗИП'!$AG:$AG,'Отчет РПЗ(ПЗ)_ПЗИП'!$D:$D,Справочно!$E42,'Отчет РПЗ(ПЗ)_ПЗИП'!$AO:$AO,2)</f>
        <v>0</v>
      </c>
      <c r="R77" s="406" t="str">
        <f t="shared" si="104"/>
        <v>НД</v>
      </c>
      <c r="S77" s="297" t="str">
        <f t="shared" si="105"/>
        <v>НД</v>
      </c>
      <c r="T77" s="504">
        <f>SUMIFS('Отчет РПЗ(ПЗ)_ПЗИП'!$W:$W,'Отчет РПЗ(ПЗ)_ПЗИП'!$D:$D,Справочно!$E42,'Отчет РПЗ(ПЗ)_ПЗИП'!$N:$N,"&gt;=01.03.2016",'Отчет РПЗ(ПЗ)_ПЗИП'!$N:$N,"&lt;=31.03.2016",'Отчет РПЗ(ПЗ)_ПЗИП'!$AG:$AG,"&gt;0")</f>
        <v>0</v>
      </c>
      <c r="U77" s="394">
        <f>SUMIFS('Отчет РПЗ(ПЗ)_ПЗИП'!$AG:$AG,'Отчет РПЗ(ПЗ)_ПЗИП'!$D:$D,Справочно!$E42,'Отчет РПЗ(ПЗ)_ПЗИП'!$AO:$AO,3)</f>
        <v>0</v>
      </c>
      <c r="V77" s="406" t="str">
        <f t="shared" si="106"/>
        <v>НД</v>
      </c>
      <c r="W77" s="297" t="str">
        <f t="shared" si="85"/>
        <v>НД</v>
      </c>
      <c r="X77" s="503">
        <f t="shared" si="107"/>
        <v>0</v>
      </c>
      <c r="Y77" s="396">
        <f t="shared" si="108"/>
        <v>0</v>
      </c>
      <c r="Z77" s="396" t="str">
        <f t="shared" si="109"/>
        <v>НД</v>
      </c>
      <c r="AA77" s="299" t="str">
        <f t="shared" si="86"/>
        <v>НД</v>
      </c>
      <c r="AB77" s="509">
        <f>SUMIFS('Отчет РПЗ(ПЗ)_ПЗИП'!$W:$W,'Отчет РПЗ(ПЗ)_ПЗИП'!$D:$D,Справочно!$E42,'Отчет РПЗ(ПЗ)_ПЗИП'!$N:$N,"&gt;=01.04.2016",'Отчет РПЗ(ПЗ)_ПЗИП'!$N:$N,"&lt;=30.04.2016",'Отчет РПЗ(ПЗ)_ПЗИП'!$AG:$AG,"&gt;0")</f>
        <v>0</v>
      </c>
      <c r="AC77" s="397">
        <f>SUMIFS('Отчет РПЗ(ПЗ)_ПЗИП'!$AG:$AG,'Отчет РПЗ(ПЗ)_ПЗИП'!$D:$D,Справочно!$E42,'Отчет РПЗ(ПЗ)_ПЗИП'!$AO:$AO,4)</f>
        <v>0</v>
      </c>
      <c r="AD77" s="397" t="str">
        <f t="shared" si="110"/>
        <v>НД</v>
      </c>
      <c r="AE77" s="298" t="str">
        <f t="shared" si="87"/>
        <v>НД</v>
      </c>
      <c r="AF77" s="508">
        <f>SUMIFS('Отчет РПЗ(ПЗ)_ПЗИП'!$W:$W,'Отчет РПЗ(ПЗ)_ПЗИП'!$D:$D,Справочно!$E42,'Отчет РПЗ(ПЗ)_ПЗИП'!$N:$N,"&gt;=01.05.2016",'Отчет РПЗ(ПЗ)_ПЗИП'!$N:$N,"&lt;=31.05.2016",'Отчет РПЗ(ПЗ)_ПЗИП'!$AG:$AG,"&gt;0")</f>
        <v>0</v>
      </c>
      <c r="AG77" s="397">
        <f>SUMIFS('Отчет РПЗ(ПЗ)_ПЗИП'!$AG:$AG,'Отчет РПЗ(ПЗ)_ПЗИП'!$D:$D,Справочно!$E42,'Отчет РПЗ(ПЗ)_ПЗИП'!$AO:$AO,5)</f>
        <v>0</v>
      </c>
      <c r="AH77" s="397" t="str">
        <f t="shared" si="111"/>
        <v>НД</v>
      </c>
      <c r="AI77" s="298" t="str">
        <f t="shared" si="88"/>
        <v>НД</v>
      </c>
      <c r="AJ77" s="508">
        <f>SUMIFS('Отчет РПЗ(ПЗ)_ПЗИП'!$W:$W,'Отчет РПЗ(ПЗ)_ПЗИП'!$D:$D,Справочно!$E42,'Отчет РПЗ(ПЗ)_ПЗИП'!$N:$N,"&gt;=01.06.2016",'Отчет РПЗ(ПЗ)_ПЗИП'!$N:$N,"&lt;=30.06.2016",'Отчет РПЗ(ПЗ)_ПЗИП'!$AG:$AG,"&gt;0")</f>
        <v>0</v>
      </c>
      <c r="AK77" s="397">
        <f>SUMIFS('Отчет РПЗ(ПЗ)_ПЗИП'!$AG:$AG,'Отчет РПЗ(ПЗ)_ПЗИП'!$D:$D,Справочно!$E42,'Отчет РПЗ(ПЗ)_ПЗИП'!$AO:$AO,6)</f>
        <v>0</v>
      </c>
      <c r="AL77" s="397" t="str">
        <f t="shared" si="112"/>
        <v>НД</v>
      </c>
      <c r="AM77" s="298" t="str">
        <f t="shared" si="89"/>
        <v>НД</v>
      </c>
      <c r="AN77" s="503">
        <f t="shared" si="113"/>
        <v>0</v>
      </c>
      <c r="AO77" s="399">
        <f t="shared" si="114"/>
        <v>0</v>
      </c>
      <c r="AP77" s="399" t="str">
        <f t="shared" si="115"/>
        <v>НД</v>
      </c>
      <c r="AQ77" s="301" t="str">
        <f t="shared" si="90"/>
        <v>НД</v>
      </c>
      <c r="AR77" s="509">
        <f>SUMIFS('Отчет РПЗ(ПЗ)_ПЗИП'!$W:$W,'Отчет РПЗ(ПЗ)_ПЗИП'!$D:$D,Справочно!$E42,'Отчет РПЗ(ПЗ)_ПЗИП'!$N:$N,"&gt;=01.07.2016",'Отчет РПЗ(ПЗ)_ПЗИП'!$N:$N,"&lt;=31.07.2016",'Отчет РПЗ(ПЗ)_ПЗИП'!$AG:$AG,"&gt;0")</f>
        <v>0</v>
      </c>
      <c r="AS77" s="400">
        <f>SUMIFS('Отчет РПЗ(ПЗ)_ПЗИП'!$AG:$AG,'Отчет РПЗ(ПЗ)_ПЗИП'!$D:$D,Справочно!$E42,'Отчет РПЗ(ПЗ)_ПЗИП'!$AO:$AO,7)</f>
        <v>0</v>
      </c>
      <c r="AT77" s="445" t="str">
        <f t="shared" si="116"/>
        <v>НД</v>
      </c>
      <c r="AU77" s="303" t="str">
        <f t="shared" si="91"/>
        <v>НД</v>
      </c>
      <c r="AV77" s="504">
        <f>SUMIFS('Отчет РПЗ(ПЗ)_ПЗИП'!$W:$W,'Отчет РПЗ(ПЗ)_ПЗИП'!$D:$D,Справочно!$E42,'Отчет РПЗ(ПЗ)_ПЗИП'!$N:$N,"&gt;=01.08.2016",'Отчет РПЗ(ПЗ)_ПЗИП'!$N:$N,"&lt;=31.08.2016",'Отчет РПЗ(ПЗ)_ПЗИП'!$AG:$AG,"&gt;0")</f>
        <v>0</v>
      </c>
      <c r="AW77" s="400">
        <f>SUMIFS('Отчет РПЗ(ПЗ)_ПЗИП'!$AG:$AG,'Отчет РПЗ(ПЗ)_ПЗИП'!$D:$D,Справочно!$E42,'Отчет РПЗ(ПЗ)_ПЗИП'!$AO:$AO,8)</f>
        <v>0</v>
      </c>
      <c r="AX77" s="445" t="str">
        <f t="shared" si="117"/>
        <v>НД</v>
      </c>
      <c r="AY77" s="303" t="str">
        <f t="shared" si="92"/>
        <v>НД</v>
      </c>
      <c r="AZ77" s="504">
        <f>SUMIFS('Отчет РПЗ(ПЗ)_ПЗИП'!$W:$W,'Отчет РПЗ(ПЗ)_ПЗИП'!$D:$D,Справочно!$E42,'Отчет РПЗ(ПЗ)_ПЗИП'!$N:$N,"&gt;=01.09.2016",'Отчет РПЗ(ПЗ)_ПЗИП'!$N:$N,"&lt;=30.09.2016",'Отчет РПЗ(ПЗ)_ПЗИП'!$AG:$AG,"&gt;0")</f>
        <v>0</v>
      </c>
      <c r="BA77" s="400">
        <f>SUMIFS('Отчет РПЗ(ПЗ)_ПЗИП'!$AG:$AG,'Отчет РПЗ(ПЗ)_ПЗИП'!$D:$D,Справочно!$E42,'Отчет РПЗ(ПЗ)_ПЗИП'!$AO:$AO,9)</f>
        <v>0</v>
      </c>
      <c r="BB77" s="445" t="str">
        <f t="shared" si="118"/>
        <v>НД</v>
      </c>
      <c r="BC77" s="303" t="str">
        <f t="shared" si="93"/>
        <v>НД</v>
      </c>
      <c r="BD77" s="503">
        <f t="shared" si="119"/>
        <v>0</v>
      </c>
      <c r="BE77" s="402">
        <f t="shared" si="120"/>
        <v>0</v>
      </c>
      <c r="BF77" s="402" t="str">
        <f t="shared" si="121"/>
        <v>НД</v>
      </c>
      <c r="BG77" s="305" t="str">
        <f t="shared" si="94"/>
        <v>НД</v>
      </c>
      <c r="BH77" s="493">
        <f>SUMIFS('Отчет РПЗ(ПЗ)_ПЗИП'!$W:$W,'Отчет РПЗ(ПЗ)_ПЗИП'!$D:$D,Справочно!$E42,'Отчет РПЗ(ПЗ)_ПЗИП'!$N:$N,"&gt;=01.10.2016",'Отчет РПЗ(ПЗ)_ПЗИП'!$N:$N,"&lt;=31.10.2016",'Отчет РПЗ(ПЗ)_ПЗИП'!$AG:$AG,"&gt;0")</f>
        <v>0</v>
      </c>
      <c r="BI77" s="403">
        <f>SUMIFS('Отчет РПЗ(ПЗ)_ПЗИП'!$AG:$AG,'Отчет РПЗ(ПЗ)_ПЗИП'!$D:$D,Справочно!$E42,'Отчет РПЗ(ПЗ)_ПЗИП'!$AO:$AO,10)</f>
        <v>0</v>
      </c>
      <c r="BJ77" s="447" t="str">
        <f t="shared" si="122"/>
        <v>НД</v>
      </c>
      <c r="BK77" s="307" t="str">
        <f t="shared" si="95"/>
        <v>НД</v>
      </c>
      <c r="BL77" s="508">
        <f>SUMIFS('Отчет РПЗ(ПЗ)_ПЗИП'!$W:$W,'Отчет РПЗ(ПЗ)_ПЗИП'!$D:$D,Справочно!$E42,'Отчет РПЗ(ПЗ)_ПЗИП'!$N:$N,"&gt;=01.11.2016",'Отчет РПЗ(ПЗ)_ПЗИП'!$N:$N,"&lt;=30.11.2016",'Отчет РПЗ(ПЗ)_ПЗИП'!$AG:$AG,"&gt;0")</f>
        <v>0</v>
      </c>
      <c r="BM77" s="403">
        <f>SUMIFS('Отчет РПЗ(ПЗ)_ПЗИП'!$AG:$AG,'Отчет РПЗ(ПЗ)_ПЗИП'!$D:$D,Справочно!$E42,'Отчет РПЗ(ПЗ)_ПЗИП'!$AO:$AO,11)</f>
        <v>0</v>
      </c>
      <c r="BN77" s="447" t="str">
        <f t="shared" si="123"/>
        <v>НД</v>
      </c>
      <c r="BO77" s="307" t="str">
        <f t="shared" si="96"/>
        <v>НД</v>
      </c>
      <c r="BP77" s="508">
        <f>SUMIFS('Отчет РПЗ(ПЗ)_ПЗИП'!$W:$W,'Отчет РПЗ(ПЗ)_ПЗИП'!$D:$D,Справочно!$E42,'Отчет РПЗ(ПЗ)_ПЗИП'!$N:$N,"&gt;=01.12.2016",'Отчет РПЗ(ПЗ)_ПЗИП'!$N:$N,"&lt;=31.12.2016",'Отчет РПЗ(ПЗ)_ПЗИП'!$AG:$AG,"&gt;0")</f>
        <v>0</v>
      </c>
      <c r="BQ77" s="403">
        <f>SUMIFS('Отчет РПЗ(ПЗ)_ПЗИП'!$AG:$AG,'Отчет РПЗ(ПЗ)_ПЗИП'!$D:$D,Справочно!$E42,'Отчет РПЗ(ПЗ)_ПЗИП'!$AO:$AO,12)</f>
        <v>0</v>
      </c>
      <c r="BR77" s="447" t="str">
        <f t="shared" si="124"/>
        <v>НД</v>
      </c>
      <c r="BS77" s="309" t="str">
        <f t="shared" si="97"/>
        <v>НД</v>
      </c>
      <c r="BT77" s="503">
        <f t="shared" si="125"/>
        <v>0</v>
      </c>
      <c r="BU77" s="405">
        <f t="shared" si="126"/>
        <v>0</v>
      </c>
      <c r="BV77" s="405" t="str">
        <f t="shared" si="127"/>
        <v>НД</v>
      </c>
      <c r="BW77" s="310" t="str">
        <f t="shared" si="98"/>
        <v>НД</v>
      </c>
    </row>
    <row r="78" spans="2:75" ht="13.5" thickBot="1" x14ac:dyDescent="0.25">
      <c r="B78" s="58" t="str">
        <f>Справочно!E43</f>
        <v>АО "Технодинамика"</v>
      </c>
      <c r="C78" s="96" t="e">
        <f>ПП!B66</f>
        <v>#REF!</v>
      </c>
      <c r="D78" s="491" t="e">
        <f>ПП!C66</f>
        <v>#REF!</v>
      </c>
      <c r="E78" s="516" t="e">
        <f>ПП!D66</f>
        <v>#REF!</v>
      </c>
      <c r="F78" s="356">
        <f>COUNTIFS('Отчет РПЗ(ПЗ)_ПЗИП'!$AG:$AG,"&gt;0",'Отчет РПЗ(ПЗ)_ПЗИП'!$D:$D,Справочно!$E43)</f>
        <v>0</v>
      </c>
      <c r="G78" s="517" t="e">
        <f t="shared" si="99"/>
        <v>#DIV/0!</v>
      </c>
      <c r="H78" s="518">
        <f>SUMIF('Отчет РПЗ(ПЗ)_ПЗИП'!$D:$D,Справочно!$E43,'Отчет РПЗ(ПЗ)_ПЗИП'!$AG:$AG)</f>
        <v>0</v>
      </c>
      <c r="I78" s="519">
        <f t="shared" si="100"/>
        <v>0</v>
      </c>
      <c r="J78" s="296" t="e">
        <f t="shared" si="101"/>
        <v>#DIV/0!</v>
      </c>
      <c r="L78" s="509">
        <f>SUMIFS('Отчет РПЗ(ПЗ)_ПЗИП'!$W:$W,'Отчет РПЗ(ПЗ)_ПЗИП'!$D:$D,Справочно!$E43,'Отчет РПЗ(ПЗ)_ПЗИП'!$N:$N,"&gt;=01.01.2016",'Отчет РПЗ(ПЗ)_ПЗИП'!$N:$N,"&lt;=31.01.2016",'Отчет РПЗ(ПЗ)_ПЗИП'!$AG:$AG,"&gt;0")</f>
        <v>0</v>
      </c>
      <c r="M78" s="394">
        <f>SUMIFS('Отчет РПЗ(ПЗ)_ПЗИП'!$AG:$AG,'Отчет РПЗ(ПЗ)_ПЗИП'!$D:$D,Справочно!$E43,'Отчет РПЗ(ПЗ)_ПЗИП'!$AO:$AO,1)</f>
        <v>0</v>
      </c>
      <c r="N78" s="406" t="str">
        <f t="shared" si="102"/>
        <v>НД</v>
      </c>
      <c r="O78" s="297" t="str">
        <f t="shared" si="103"/>
        <v>НД</v>
      </c>
      <c r="P78" s="504">
        <f>SUMIFS('Отчет РПЗ(ПЗ)_ПЗИП'!$W:$W,'Отчет РПЗ(ПЗ)_ПЗИП'!$D:$D,Справочно!$E43,'Отчет РПЗ(ПЗ)_ПЗИП'!$N:$N,"&gt;=01.02.2016",'Отчет РПЗ(ПЗ)_ПЗИП'!$N:$N,"&lt;=29.02.2016",'Отчет РПЗ(ПЗ)_ПЗИП'!$AG:$AG,"&gt;0")</f>
        <v>0</v>
      </c>
      <c r="Q78" s="394">
        <f>SUMIFS('Отчет РПЗ(ПЗ)_ПЗИП'!$AG:$AG,'Отчет РПЗ(ПЗ)_ПЗИП'!$D:$D,Справочно!$E43,'Отчет РПЗ(ПЗ)_ПЗИП'!$AO:$AO,2)</f>
        <v>0</v>
      </c>
      <c r="R78" s="406" t="str">
        <f t="shared" si="104"/>
        <v>НД</v>
      </c>
      <c r="S78" s="297" t="str">
        <f t="shared" si="105"/>
        <v>НД</v>
      </c>
      <c r="T78" s="504">
        <f>SUMIFS('Отчет РПЗ(ПЗ)_ПЗИП'!$W:$W,'Отчет РПЗ(ПЗ)_ПЗИП'!$D:$D,Справочно!$E43,'Отчет РПЗ(ПЗ)_ПЗИП'!$N:$N,"&gt;=01.03.2016",'Отчет РПЗ(ПЗ)_ПЗИП'!$N:$N,"&lt;=31.03.2016",'Отчет РПЗ(ПЗ)_ПЗИП'!$AG:$AG,"&gt;0")</f>
        <v>0</v>
      </c>
      <c r="U78" s="394">
        <f>SUMIFS('Отчет РПЗ(ПЗ)_ПЗИП'!$AG:$AG,'Отчет РПЗ(ПЗ)_ПЗИП'!$D:$D,Справочно!$E43,'Отчет РПЗ(ПЗ)_ПЗИП'!$AO:$AO,3)</f>
        <v>0</v>
      </c>
      <c r="V78" s="406" t="str">
        <f t="shared" si="106"/>
        <v>НД</v>
      </c>
      <c r="W78" s="297" t="str">
        <f t="shared" si="85"/>
        <v>НД</v>
      </c>
      <c r="X78" s="503">
        <f t="shared" si="107"/>
        <v>0</v>
      </c>
      <c r="Y78" s="396">
        <f t="shared" si="108"/>
        <v>0</v>
      </c>
      <c r="Z78" s="396" t="str">
        <f t="shared" si="109"/>
        <v>НД</v>
      </c>
      <c r="AA78" s="299" t="str">
        <f t="shared" si="86"/>
        <v>НД</v>
      </c>
      <c r="AB78" s="509">
        <f>SUMIFS('Отчет РПЗ(ПЗ)_ПЗИП'!$W:$W,'Отчет РПЗ(ПЗ)_ПЗИП'!$D:$D,Справочно!$E43,'Отчет РПЗ(ПЗ)_ПЗИП'!$N:$N,"&gt;=01.04.2016",'Отчет РПЗ(ПЗ)_ПЗИП'!$N:$N,"&lt;=30.04.2016",'Отчет РПЗ(ПЗ)_ПЗИП'!$AG:$AG,"&gt;0")</f>
        <v>0</v>
      </c>
      <c r="AC78" s="397">
        <f>SUMIFS('Отчет РПЗ(ПЗ)_ПЗИП'!$AG:$AG,'Отчет РПЗ(ПЗ)_ПЗИП'!$D:$D,Справочно!$E43,'Отчет РПЗ(ПЗ)_ПЗИП'!$AO:$AO,4)</f>
        <v>0</v>
      </c>
      <c r="AD78" s="397" t="str">
        <f t="shared" si="110"/>
        <v>НД</v>
      </c>
      <c r="AE78" s="298" t="str">
        <f t="shared" si="87"/>
        <v>НД</v>
      </c>
      <c r="AF78" s="508">
        <f>SUMIFS('Отчет РПЗ(ПЗ)_ПЗИП'!$W:$W,'Отчет РПЗ(ПЗ)_ПЗИП'!$D:$D,Справочно!$E43,'Отчет РПЗ(ПЗ)_ПЗИП'!$N:$N,"&gt;=01.05.2016",'Отчет РПЗ(ПЗ)_ПЗИП'!$N:$N,"&lt;=31.05.2016",'Отчет РПЗ(ПЗ)_ПЗИП'!$AG:$AG,"&gt;0")</f>
        <v>0</v>
      </c>
      <c r="AG78" s="397">
        <f>SUMIFS('Отчет РПЗ(ПЗ)_ПЗИП'!$AG:$AG,'Отчет РПЗ(ПЗ)_ПЗИП'!$D:$D,Справочно!$E43,'Отчет РПЗ(ПЗ)_ПЗИП'!$AO:$AO,5)</f>
        <v>0</v>
      </c>
      <c r="AH78" s="397" t="str">
        <f t="shared" si="111"/>
        <v>НД</v>
      </c>
      <c r="AI78" s="298" t="str">
        <f t="shared" si="88"/>
        <v>НД</v>
      </c>
      <c r="AJ78" s="508">
        <f>SUMIFS('Отчет РПЗ(ПЗ)_ПЗИП'!$W:$W,'Отчет РПЗ(ПЗ)_ПЗИП'!$D:$D,Справочно!$E43,'Отчет РПЗ(ПЗ)_ПЗИП'!$N:$N,"&gt;=01.06.2016",'Отчет РПЗ(ПЗ)_ПЗИП'!$N:$N,"&lt;=30.06.2016",'Отчет РПЗ(ПЗ)_ПЗИП'!$AG:$AG,"&gt;0")</f>
        <v>0</v>
      </c>
      <c r="AK78" s="397">
        <f>SUMIFS('Отчет РПЗ(ПЗ)_ПЗИП'!$AG:$AG,'Отчет РПЗ(ПЗ)_ПЗИП'!$D:$D,Справочно!$E43,'Отчет РПЗ(ПЗ)_ПЗИП'!$AO:$AO,6)</f>
        <v>0</v>
      </c>
      <c r="AL78" s="397" t="str">
        <f t="shared" si="112"/>
        <v>НД</v>
      </c>
      <c r="AM78" s="298" t="str">
        <f t="shared" si="89"/>
        <v>НД</v>
      </c>
      <c r="AN78" s="503">
        <f t="shared" si="113"/>
        <v>0</v>
      </c>
      <c r="AO78" s="399">
        <f t="shared" si="114"/>
        <v>0</v>
      </c>
      <c r="AP78" s="399" t="str">
        <f t="shared" si="115"/>
        <v>НД</v>
      </c>
      <c r="AQ78" s="301" t="str">
        <f t="shared" si="90"/>
        <v>НД</v>
      </c>
      <c r="AR78" s="509">
        <f>SUMIFS('Отчет РПЗ(ПЗ)_ПЗИП'!$W:$W,'Отчет РПЗ(ПЗ)_ПЗИП'!$D:$D,Справочно!$E43,'Отчет РПЗ(ПЗ)_ПЗИП'!$N:$N,"&gt;=01.07.2016",'Отчет РПЗ(ПЗ)_ПЗИП'!$N:$N,"&lt;=31.07.2016",'Отчет РПЗ(ПЗ)_ПЗИП'!$AG:$AG,"&gt;0")</f>
        <v>0</v>
      </c>
      <c r="AS78" s="400">
        <f>SUMIFS('Отчет РПЗ(ПЗ)_ПЗИП'!$AG:$AG,'Отчет РПЗ(ПЗ)_ПЗИП'!$D:$D,Справочно!$E43,'Отчет РПЗ(ПЗ)_ПЗИП'!$AO:$AO,7)</f>
        <v>0</v>
      </c>
      <c r="AT78" s="445" t="str">
        <f t="shared" si="116"/>
        <v>НД</v>
      </c>
      <c r="AU78" s="303" t="str">
        <f t="shared" si="91"/>
        <v>НД</v>
      </c>
      <c r="AV78" s="504">
        <f>SUMIFS('Отчет РПЗ(ПЗ)_ПЗИП'!$W:$W,'Отчет РПЗ(ПЗ)_ПЗИП'!$D:$D,Справочно!$E43,'Отчет РПЗ(ПЗ)_ПЗИП'!$N:$N,"&gt;=01.08.2016",'Отчет РПЗ(ПЗ)_ПЗИП'!$N:$N,"&lt;=31.08.2016",'Отчет РПЗ(ПЗ)_ПЗИП'!$AG:$AG,"&gt;0")</f>
        <v>0</v>
      </c>
      <c r="AW78" s="400">
        <f>SUMIFS('Отчет РПЗ(ПЗ)_ПЗИП'!$AG:$AG,'Отчет РПЗ(ПЗ)_ПЗИП'!$D:$D,Справочно!$E43,'Отчет РПЗ(ПЗ)_ПЗИП'!$AO:$AO,8)</f>
        <v>0</v>
      </c>
      <c r="AX78" s="445" t="str">
        <f t="shared" si="117"/>
        <v>НД</v>
      </c>
      <c r="AY78" s="303" t="str">
        <f t="shared" si="92"/>
        <v>НД</v>
      </c>
      <c r="AZ78" s="504">
        <f>SUMIFS('Отчет РПЗ(ПЗ)_ПЗИП'!$W:$W,'Отчет РПЗ(ПЗ)_ПЗИП'!$D:$D,Справочно!$E43,'Отчет РПЗ(ПЗ)_ПЗИП'!$N:$N,"&gt;=01.09.2016",'Отчет РПЗ(ПЗ)_ПЗИП'!$N:$N,"&lt;=30.09.2016",'Отчет РПЗ(ПЗ)_ПЗИП'!$AG:$AG,"&gt;0")</f>
        <v>0</v>
      </c>
      <c r="BA78" s="400">
        <f>SUMIFS('Отчет РПЗ(ПЗ)_ПЗИП'!$AG:$AG,'Отчет РПЗ(ПЗ)_ПЗИП'!$D:$D,Справочно!$E43,'Отчет РПЗ(ПЗ)_ПЗИП'!$AO:$AO,9)</f>
        <v>0</v>
      </c>
      <c r="BB78" s="445" t="str">
        <f t="shared" si="118"/>
        <v>НД</v>
      </c>
      <c r="BC78" s="303" t="str">
        <f t="shared" si="93"/>
        <v>НД</v>
      </c>
      <c r="BD78" s="503">
        <f t="shared" si="119"/>
        <v>0</v>
      </c>
      <c r="BE78" s="402">
        <f t="shared" si="120"/>
        <v>0</v>
      </c>
      <c r="BF78" s="402" t="str">
        <f t="shared" si="121"/>
        <v>НД</v>
      </c>
      <c r="BG78" s="305" t="str">
        <f t="shared" si="94"/>
        <v>НД</v>
      </c>
      <c r="BH78" s="493">
        <f>SUMIFS('Отчет РПЗ(ПЗ)_ПЗИП'!$W:$W,'Отчет РПЗ(ПЗ)_ПЗИП'!$D:$D,Справочно!$E43,'Отчет РПЗ(ПЗ)_ПЗИП'!$N:$N,"&gt;=01.10.2016",'Отчет РПЗ(ПЗ)_ПЗИП'!$N:$N,"&lt;=31.10.2016",'Отчет РПЗ(ПЗ)_ПЗИП'!$AG:$AG,"&gt;0")</f>
        <v>0</v>
      </c>
      <c r="BI78" s="403">
        <f>SUMIFS('Отчет РПЗ(ПЗ)_ПЗИП'!$AG:$AG,'Отчет РПЗ(ПЗ)_ПЗИП'!$D:$D,Справочно!$E43,'Отчет РПЗ(ПЗ)_ПЗИП'!$AO:$AO,10)</f>
        <v>0</v>
      </c>
      <c r="BJ78" s="447" t="str">
        <f t="shared" si="122"/>
        <v>НД</v>
      </c>
      <c r="BK78" s="307" t="str">
        <f t="shared" si="95"/>
        <v>НД</v>
      </c>
      <c r="BL78" s="508">
        <f>SUMIFS('Отчет РПЗ(ПЗ)_ПЗИП'!$W:$W,'Отчет РПЗ(ПЗ)_ПЗИП'!$D:$D,Справочно!$E43,'Отчет РПЗ(ПЗ)_ПЗИП'!$N:$N,"&gt;=01.11.2016",'Отчет РПЗ(ПЗ)_ПЗИП'!$N:$N,"&lt;=30.11.2016",'Отчет РПЗ(ПЗ)_ПЗИП'!$AG:$AG,"&gt;0")</f>
        <v>0</v>
      </c>
      <c r="BM78" s="403">
        <f>SUMIFS('Отчет РПЗ(ПЗ)_ПЗИП'!$AG:$AG,'Отчет РПЗ(ПЗ)_ПЗИП'!$D:$D,Справочно!$E43,'Отчет РПЗ(ПЗ)_ПЗИП'!$AO:$AO,11)</f>
        <v>0</v>
      </c>
      <c r="BN78" s="447" t="str">
        <f t="shared" si="123"/>
        <v>НД</v>
      </c>
      <c r="BO78" s="307" t="str">
        <f t="shared" si="96"/>
        <v>НД</v>
      </c>
      <c r="BP78" s="508">
        <f>SUMIFS('Отчет РПЗ(ПЗ)_ПЗИП'!$W:$W,'Отчет РПЗ(ПЗ)_ПЗИП'!$D:$D,Справочно!$E43,'Отчет РПЗ(ПЗ)_ПЗИП'!$N:$N,"&gt;=01.12.2016",'Отчет РПЗ(ПЗ)_ПЗИП'!$N:$N,"&lt;=31.12.2016",'Отчет РПЗ(ПЗ)_ПЗИП'!$AG:$AG,"&gt;0")</f>
        <v>0</v>
      </c>
      <c r="BQ78" s="403">
        <f>SUMIFS('Отчет РПЗ(ПЗ)_ПЗИП'!$AG:$AG,'Отчет РПЗ(ПЗ)_ПЗИП'!$D:$D,Справочно!$E43,'Отчет РПЗ(ПЗ)_ПЗИП'!$AO:$AO,12)</f>
        <v>0</v>
      </c>
      <c r="BR78" s="447" t="str">
        <f t="shared" si="124"/>
        <v>НД</v>
      </c>
      <c r="BS78" s="309" t="str">
        <f t="shared" si="97"/>
        <v>НД</v>
      </c>
      <c r="BT78" s="503">
        <f t="shared" si="125"/>
        <v>0</v>
      </c>
      <c r="BU78" s="405">
        <f t="shared" si="126"/>
        <v>0</v>
      </c>
      <c r="BV78" s="405" t="str">
        <f t="shared" si="127"/>
        <v>НД</v>
      </c>
      <c r="BW78" s="310" t="str">
        <f t="shared" si="98"/>
        <v>НД</v>
      </c>
    </row>
    <row r="79" spans="2:75" ht="13.5" thickBot="1" x14ac:dyDescent="0.25">
      <c r="B79" s="58" t="str">
        <f>Справочно!E44</f>
        <v>АО "Швабе"</v>
      </c>
      <c r="C79" s="96" t="e">
        <f>ПП!B67</f>
        <v>#REF!</v>
      </c>
      <c r="D79" s="491" t="e">
        <f>ПП!C67</f>
        <v>#REF!</v>
      </c>
      <c r="E79" s="516" t="e">
        <f>ПП!D67</f>
        <v>#REF!</v>
      </c>
      <c r="F79" s="356">
        <f>COUNTIFS('Отчет РПЗ(ПЗ)_ПЗИП'!$AG:$AG,"&gt;0",'Отчет РПЗ(ПЗ)_ПЗИП'!$D:$D,Справочно!$E44)</f>
        <v>0</v>
      </c>
      <c r="G79" s="517" t="e">
        <f t="shared" si="99"/>
        <v>#DIV/0!</v>
      </c>
      <c r="H79" s="518">
        <f>SUMIF('Отчет РПЗ(ПЗ)_ПЗИП'!$D:$D,Справочно!$E44,'Отчет РПЗ(ПЗ)_ПЗИП'!$AG:$AG)</f>
        <v>0</v>
      </c>
      <c r="I79" s="519">
        <f t="shared" si="100"/>
        <v>0</v>
      </c>
      <c r="J79" s="296" t="e">
        <f t="shared" si="101"/>
        <v>#DIV/0!</v>
      </c>
      <c r="L79" s="509">
        <f>SUMIFS('Отчет РПЗ(ПЗ)_ПЗИП'!$W:$W,'Отчет РПЗ(ПЗ)_ПЗИП'!$D:$D,Справочно!$E44,'Отчет РПЗ(ПЗ)_ПЗИП'!$N:$N,"&gt;=01.01.2016",'Отчет РПЗ(ПЗ)_ПЗИП'!$N:$N,"&lt;=31.01.2016",'Отчет РПЗ(ПЗ)_ПЗИП'!$AG:$AG,"&gt;0")</f>
        <v>0</v>
      </c>
      <c r="M79" s="394">
        <f>SUMIFS('Отчет РПЗ(ПЗ)_ПЗИП'!$AG:$AG,'Отчет РПЗ(ПЗ)_ПЗИП'!$D:$D,Справочно!$E44,'Отчет РПЗ(ПЗ)_ПЗИП'!$AO:$AO,1)</f>
        <v>0</v>
      </c>
      <c r="N79" s="406" t="str">
        <f t="shared" si="102"/>
        <v>НД</v>
      </c>
      <c r="O79" s="297" t="str">
        <f t="shared" si="103"/>
        <v>НД</v>
      </c>
      <c r="P79" s="504">
        <f>SUMIFS('Отчет РПЗ(ПЗ)_ПЗИП'!$W:$W,'Отчет РПЗ(ПЗ)_ПЗИП'!$D:$D,Справочно!$E44,'Отчет РПЗ(ПЗ)_ПЗИП'!$N:$N,"&gt;=01.02.2016",'Отчет РПЗ(ПЗ)_ПЗИП'!$N:$N,"&lt;=29.02.2016",'Отчет РПЗ(ПЗ)_ПЗИП'!$AG:$AG,"&gt;0")</f>
        <v>0</v>
      </c>
      <c r="Q79" s="394">
        <f>SUMIFS('Отчет РПЗ(ПЗ)_ПЗИП'!$AG:$AG,'Отчет РПЗ(ПЗ)_ПЗИП'!$D:$D,Справочно!$E44,'Отчет РПЗ(ПЗ)_ПЗИП'!$AO:$AO,2)</f>
        <v>0</v>
      </c>
      <c r="R79" s="406" t="str">
        <f t="shared" si="104"/>
        <v>НД</v>
      </c>
      <c r="S79" s="297" t="str">
        <f t="shared" si="105"/>
        <v>НД</v>
      </c>
      <c r="T79" s="504">
        <f>SUMIFS('Отчет РПЗ(ПЗ)_ПЗИП'!$W:$W,'Отчет РПЗ(ПЗ)_ПЗИП'!$D:$D,Справочно!$E44,'Отчет РПЗ(ПЗ)_ПЗИП'!$N:$N,"&gt;=01.03.2016",'Отчет РПЗ(ПЗ)_ПЗИП'!$N:$N,"&lt;=31.03.2016",'Отчет РПЗ(ПЗ)_ПЗИП'!$AG:$AG,"&gt;0")</f>
        <v>0</v>
      </c>
      <c r="U79" s="394">
        <f>SUMIFS('Отчет РПЗ(ПЗ)_ПЗИП'!$AG:$AG,'Отчет РПЗ(ПЗ)_ПЗИП'!$D:$D,Справочно!$E44,'Отчет РПЗ(ПЗ)_ПЗИП'!$AO:$AO,3)</f>
        <v>0</v>
      </c>
      <c r="V79" s="406" t="str">
        <f t="shared" si="106"/>
        <v>НД</v>
      </c>
      <c r="W79" s="297" t="str">
        <f t="shared" si="85"/>
        <v>НД</v>
      </c>
      <c r="X79" s="503">
        <f t="shared" si="107"/>
        <v>0</v>
      </c>
      <c r="Y79" s="396">
        <f t="shared" si="108"/>
        <v>0</v>
      </c>
      <c r="Z79" s="396" t="str">
        <f t="shared" si="109"/>
        <v>НД</v>
      </c>
      <c r="AA79" s="299" t="str">
        <f t="shared" si="86"/>
        <v>НД</v>
      </c>
      <c r="AB79" s="509">
        <f>SUMIFS('Отчет РПЗ(ПЗ)_ПЗИП'!$W:$W,'Отчет РПЗ(ПЗ)_ПЗИП'!$D:$D,Справочно!$E44,'Отчет РПЗ(ПЗ)_ПЗИП'!$N:$N,"&gt;=01.04.2016",'Отчет РПЗ(ПЗ)_ПЗИП'!$N:$N,"&lt;=30.04.2016",'Отчет РПЗ(ПЗ)_ПЗИП'!$AG:$AG,"&gt;0")</f>
        <v>0</v>
      </c>
      <c r="AC79" s="397">
        <f>SUMIFS('Отчет РПЗ(ПЗ)_ПЗИП'!$AG:$AG,'Отчет РПЗ(ПЗ)_ПЗИП'!$D:$D,Справочно!$E44,'Отчет РПЗ(ПЗ)_ПЗИП'!$AO:$AO,4)</f>
        <v>0</v>
      </c>
      <c r="AD79" s="397" t="str">
        <f t="shared" si="110"/>
        <v>НД</v>
      </c>
      <c r="AE79" s="298" t="str">
        <f t="shared" si="87"/>
        <v>НД</v>
      </c>
      <c r="AF79" s="508">
        <f>SUMIFS('Отчет РПЗ(ПЗ)_ПЗИП'!$W:$W,'Отчет РПЗ(ПЗ)_ПЗИП'!$D:$D,Справочно!$E44,'Отчет РПЗ(ПЗ)_ПЗИП'!$N:$N,"&gt;=01.05.2016",'Отчет РПЗ(ПЗ)_ПЗИП'!$N:$N,"&lt;=31.05.2016",'Отчет РПЗ(ПЗ)_ПЗИП'!$AG:$AG,"&gt;0")</f>
        <v>0</v>
      </c>
      <c r="AG79" s="397">
        <f>SUMIFS('Отчет РПЗ(ПЗ)_ПЗИП'!$AG:$AG,'Отчет РПЗ(ПЗ)_ПЗИП'!$D:$D,Справочно!$E44,'Отчет РПЗ(ПЗ)_ПЗИП'!$AO:$AO,5)</f>
        <v>0</v>
      </c>
      <c r="AH79" s="397" t="str">
        <f t="shared" si="111"/>
        <v>НД</v>
      </c>
      <c r="AI79" s="298" t="str">
        <f t="shared" si="88"/>
        <v>НД</v>
      </c>
      <c r="AJ79" s="508">
        <f>SUMIFS('Отчет РПЗ(ПЗ)_ПЗИП'!$W:$W,'Отчет РПЗ(ПЗ)_ПЗИП'!$D:$D,Справочно!$E44,'Отчет РПЗ(ПЗ)_ПЗИП'!$N:$N,"&gt;=01.06.2016",'Отчет РПЗ(ПЗ)_ПЗИП'!$N:$N,"&lt;=30.06.2016",'Отчет РПЗ(ПЗ)_ПЗИП'!$AG:$AG,"&gt;0")</f>
        <v>0</v>
      </c>
      <c r="AK79" s="397">
        <f>SUMIFS('Отчет РПЗ(ПЗ)_ПЗИП'!$AG:$AG,'Отчет РПЗ(ПЗ)_ПЗИП'!$D:$D,Справочно!$E44,'Отчет РПЗ(ПЗ)_ПЗИП'!$AO:$AO,6)</f>
        <v>0</v>
      </c>
      <c r="AL79" s="397" t="str">
        <f t="shared" si="112"/>
        <v>НД</v>
      </c>
      <c r="AM79" s="298" t="str">
        <f t="shared" si="89"/>
        <v>НД</v>
      </c>
      <c r="AN79" s="503">
        <f t="shared" si="113"/>
        <v>0</v>
      </c>
      <c r="AO79" s="399">
        <f t="shared" si="114"/>
        <v>0</v>
      </c>
      <c r="AP79" s="399" t="str">
        <f t="shared" si="115"/>
        <v>НД</v>
      </c>
      <c r="AQ79" s="301" t="str">
        <f t="shared" si="90"/>
        <v>НД</v>
      </c>
      <c r="AR79" s="509">
        <f>SUMIFS('Отчет РПЗ(ПЗ)_ПЗИП'!$W:$W,'Отчет РПЗ(ПЗ)_ПЗИП'!$D:$D,Справочно!$E44,'Отчет РПЗ(ПЗ)_ПЗИП'!$N:$N,"&gt;=01.07.2016",'Отчет РПЗ(ПЗ)_ПЗИП'!$N:$N,"&lt;=31.07.2016",'Отчет РПЗ(ПЗ)_ПЗИП'!$AG:$AG,"&gt;0")</f>
        <v>0</v>
      </c>
      <c r="AS79" s="400">
        <f>SUMIFS('Отчет РПЗ(ПЗ)_ПЗИП'!$AG:$AG,'Отчет РПЗ(ПЗ)_ПЗИП'!$D:$D,Справочно!$E44,'Отчет РПЗ(ПЗ)_ПЗИП'!$AO:$AO,7)</f>
        <v>0</v>
      </c>
      <c r="AT79" s="445" t="str">
        <f t="shared" si="116"/>
        <v>НД</v>
      </c>
      <c r="AU79" s="303" t="str">
        <f t="shared" si="91"/>
        <v>НД</v>
      </c>
      <c r="AV79" s="504">
        <f>SUMIFS('Отчет РПЗ(ПЗ)_ПЗИП'!$W:$W,'Отчет РПЗ(ПЗ)_ПЗИП'!$D:$D,Справочно!$E44,'Отчет РПЗ(ПЗ)_ПЗИП'!$N:$N,"&gt;=01.08.2016",'Отчет РПЗ(ПЗ)_ПЗИП'!$N:$N,"&lt;=31.08.2016",'Отчет РПЗ(ПЗ)_ПЗИП'!$AG:$AG,"&gt;0")</f>
        <v>0</v>
      </c>
      <c r="AW79" s="400">
        <f>SUMIFS('Отчет РПЗ(ПЗ)_ПЗИП'!$AG:$AG,'Отчет РПЗ(ПЗ)_ПЗИП'!$D:$D,Справочно!$E44,'Отчет РПЗ(ПЗ)_ПЗИП'!$AO:$AO,8)</f>
        <v>0</v>
      </c>
      <c r="AX79" s="445" t="str">
        <f t="shared" si="117"/>
        <v>НД</v>
      </c>
      <c r="AY79" s="303" t="str">
        <f t="shared" si="92"/>
        <v>НД</v>
      </c>
      <c r="AZ79" s="504">
        <f>SUMIFS('Отчет РПЗ(ПЗ)_ПЗИП'!$W:$W,'Отчет РПЗ(ПЗ)_ПЗИП'!$D:$D,Справочно!$E44,'Отчет РПЗ(ПЗ)_ПЗИП'!$N:$N,"&gt;=01.09.2016",'Отчет РПЗ(ПЗ)_ПЗИП'!$N:$N,"&lt;=30.09.2016",'Отчет РПЗ(ПЗ)_ПЗИП'!$AG:$AG,"&gt;0")</f>
        <v>0</v>
      </c>
      <c r="BA79" s="400">
        <f>SUMIFS('Отчет РПЗ(ПЗ)_ПЗИП'!$AG:$AG,'Отчет РПЗ(ПЗ)_ПЗИП'!$D:$D,Справочно!$E44,'Отчет РПЗ(ПЗ)_ПЗИП'!$AO:$AO,9)</f>
        <v>0</v>
      </c>
      <c r="BB79" s="445" t="str">
        <f t="shared" si="118"/>
        <v>НД</v>
      </c>
      <c r="BC79" s="303" t="str">
        <f t="shared" si="93"/>
        <v>НД</v>
      </c>
      <c r="BD79" s="503">
        <f t="shared" si="119"/>
        <v>0</v>
      </c>
      <c r="BE79" s="402">
        <f t="shared" si="120"/>
        <v>0</v>
      </c>
      <c r="BF79" s="402" t="str">
        <f t="shared" si="121"/>
        <v>НД</v>
      </c>
      <c r="BG79" s="305" t="str">
        <f t="shared" si="94"/>
        <v>НД</v>
      </c>
      <c r="BH79" s="493">
        <f>SUMIFS('Отчет РПЗ(ПЗ)_ПЗИП'!$W:$W,'Отчет РПЗ(ПЗ)_ПЗИП'!$D:$D,Справочно!$E44,'Отчет РПЗ(ПЗ)_ПЗИП'!$N:$N,"&gt;=01.10.2016",'Отчет РПЗ(ПЗ)_ПЗИП'!$N:$N,"&lt;=31.10.2016",'Отчет РПЗ(ПЗ)_ПЗИП'!$AG:$AG,"&gt;0")</f>
        <v>0</v>
      </c>
      <c r="BI79" s="403">
        <f>SUMIFS('Отчет РПЗ(ПЗ)_ПЗИП'!$AG:$AG,'Отчет РПЗ(ПЗ)_ПЗИП'!$D:$D,Справочно!$E44,'Отчет РПЗ(ПЗ)_ПЗИП'!$AO:$AO,10)</f>
        <v>0</v>
      </c>
      <c r="BJ79" s="447" t="str">
        <f t="shared" si="122"/>
        <v>НД</v>
      </c>
      <c r="BK79" s="307" t="str">
        <f t="shared" si="95"/>
        <v>НД</v>
      </c>
      <c r="BL79" s="508">
        <f>SUMIFS('Отчет РПЗ(ПЗ)_ПЗИП'!$W:$W,'Отчет РПЗ(ПЗ)_ПЗИП'!$D:$D,Справочно!$E44,'Отчет РПЗ(ПЗ)_ПЗИП'!$N:$N,"&gt;=01.11.2016",'Отчет РПЗ(ПЗ)_ПЗИП'!$N:$N,"&lt;=30.11.2016",'Отчет РПЗ(ПЗ)_ПЗИП'!$AG:$AG,"&gt;0")</f>
        <v>0</v>
      </c>
      <c r="BM79" s="403">
        <f>SUMIFS('Отчет РПЗ(ПЗ)_ПЗИП'!$AG:$AG,'Отчет РПЗ(ПЗ)_ПЗИП'!$D:$D,Справочно!$E44,'Отчет РПЗ(ПЗ)_ПЗИП'!$AO:$AO,11)</f>
        <v>0</v>
      </c>
      <c r="BN79" s="447" t="str">
        <f t="shared" si="123"/>
        <v>НД</v>
      </c>
      <c r="BO79" s="307" t="str">
        <f t="shared" si="96"/>
        <v>НД</v>
      </c>
      <c r="BP79" s="508">
        <f>SUMIFS('Отчет РПЗ(ПЗ)_ПЗИП'!$W:$W,'Отчет РПЗ(ПЗ)_ПЗИП'!$D:$D,Справочно!$E44,'Отчет РПЗ(ПЗ)_ПЗИП'!$N:$N,"&gt;=01.12.2016",'Отчет РПЗ(ПЗ)_ПЗИП'!$N:$N,"&lt;=31.12.2016",'Отчет РПЗ(ПЗ)_ПЗИП'!$AG:$AG,"&gt;0")</f>
        <v>0</v>
      </c>
      <c r="BQ79" s="403">
        <f>SUMIFS('Отчет РПЗ(ПЗ)_ПЗИП'!$AG:$AG,'Отчет РПЗ(ПЗ)_ПЗИП'!$D:$D,Справочно!$E44,'Отчет РПЗ(ПЗ)_ПЗИП'!$AO:$AO,12)</f>
        <v>0</v>
      </c>
      <c r="BR79" s="447" t="str">
        <f t="shared" si="124"/>
        <v>НД</v>
      </c>
      <c r="BS79" s="309" t="str">
        <f t="shared" si="97"/>
        <v>НД</v>
      </c>
      <c r="BT79" s="503">
        <f t="shared" si="125"/>
        <v>0</v>
      </c>
      <c r="BU79" s="405">
        <f t="shared" si="126"/>
        <v>0</v>
      </c>
      <c r="BV79" s="405" t="str">
        <f t="shared" si="127"/>
        <v>НД</v>
      </c>
      <c r="BW79" s="310" t="str">
        <f t="shared" si="98"/>
        <v>НД</v>
      </c>
    </row>
    <row r="80" spans="2:75" ht="13.5" thickBot="1" x14ac:dyDescent="0.25">
      <c r="B80" s="58" t="str">
        <f>Справочно!E45</f>
        <v>АО "Вертолеты России"</v>
      </c>
      <c r="C80" s="96" t="e">
        <f>ПП!B68</f>
        <v>#REF!</v>
      </c>
      <c r="D80" s="491" t="e">
        <f>ПП!C68</f>
        <v>#REF!</v>
      </c>
      <c r="E80" s="516" t="e">
        <f>ПП!D68</f>
        <v>#REF!</v>
      </c>
      <c r="F80" s="356">
        <f>COUNTIFS('Отчет РПЗ(ПЗ)_ПЗИП'!$AG:$AG,"&gt;0",'Отчет РПЗ(ПЗ)_ПЗИП'!$D:$D,Справочно!$E45)</f>
        <v>0</v>
      </c>
      <c r="G80" s="517" t="e">
        <f t="shared" si="99"/>
        <v>#DIV/0!</v>
      </c>
      <c r="H80" s="518">
        <f>SUMIF('Отчет РПЗ(ПЗ)_ПЗИП'!$D:$D,Справочно!$E45,'Отчет РПЗ(ПЗ)_ПЗИП'!$AG:$AG)</f>
        <v>0</v>
      </c>
      <c r="I80" s="519">
        <f t="shared" si="100"/>
        <v>0</v>
      </c>
      <c r="J80" s="296" t="e">
        <f t="shared" si="101"/>
        <v>#DIV/0!</v>
      </c>
      <c r="L80" s="509">
        <f>SUMIFS('Отчет РПЗ(ПЗ)_ПЗИП'!$W:$W,'Отчет РПЗ(ПЗ)_ПЗИП'!$D:$D,Справочно!$E45,'Отчет РПЗ(ПЗ)_ПЗИП'!$N:$N,"&gt;=01.01.2016",'Отчет РПЗ(ПЗ)_ПЗИП'!$N:$N,"&lt;=31.01.2016",'Отчет РПЗ(ПЗ)_ПЗИП'!$AG:$AG,"&gt;0")</f>
        <v>0</v>
      </c>
      <c r="M80" s="394">
        <f>SUMIFS('Отчет РПЗ(ПЗ)_ПЗИП'!$AG:$AG,'Отчет РПЗ(ПЗ)_ПЗИП'!$D:$D,Справочно!$E45,'Отчет РПЗ(ПЗ)_ПЗИП'!$AO:$AO,1)</f>
        <v>0</v>
      </c>
      <c r="N80" s="406" t="str">
        <f t="shared" si="102"/>
        <v>НД</v>
      </c>
      <c r="O80" s="297" t="str">
        <f t="shared" si="103"/>
        <v>НД</v>
      </c>
      <c r="P80" s="505">
        <f>SUMIFS('Отчет РПЗ(ПЗ)_ПЗИП'!$W:$W,'Отчет РПЗ(ПЗ)_ПЗИП'!$D:$D,Справочно!$E45,'Отчет РПЗ(ПЗ)_ПЗИП'!$N:$N,"&gt;=01.02.2016",'Отчет РПЗ(ПЗ)_ПЗИП'!$N:$N,"&lt;=29.02.2016",'Отчет РПЗ(ПЗ)_ПЗИП'!$AG:$AG,"&gt;0")</f>
        <v>0</v>
      </c>
      <c r="Q80" s="394">
        <f>SUMIFS('Отчет РПЗ(ПЗ)_ПЗИП'!$AG:$AG,'Отчет РПЗ(ПЗ)_ПЗИП'!$D:$D,Справочно!$E45,'Отчет РПЗ(ПЗ)_ПЗИП'!$AO:$AO,2)</f>
        <v>0</v>
      </c>
      <c r="R80" s="406" t="str">
        <f t="shared" si="104"/>
        <v>НД</v>
      </c>
      <c r="S80" s="297" t="str">
        <f t="shared" si="105"/>
        <v>НД</v>
      </c>
      <c r="T80" s="510">
        <f>SUMIFS('Отчет РПЗ(ПЗ)_ПЗИП'!$W:$W,'Отчет РПЗ(ПЗ)_ПЗИП'!$D:$D,Справочно!$E45,'Отчет РПЗ(ПЗ)_ПЗИП'!$N:$N,"&gt;=01.03.2016",'Отчет РПЗ(ПЗ)_ПЗИП'!$N:$N,"&lt;=31.03.2016",'Отчет РПЗ(ПЗ)_ПЗИП'!$AG:$AG,"&gt;0")</f>
        <v>0</v>
      </c>
      <c r="U80" s="394">
        <f>SUMIFS('Отчет РПЗ(ПЗ)_ПЗИП'!$AG:$AG,'Отчет РПЗ(ПЗ)_ПЗИП'!$D:$D,Справочно!$E45,'Отчет РПЗ(ПЗ)_ПЗИП'!$AO:$AO,3)</f>
        <v>0</v>
      </c>
      <c r="V80" s="406" t="str">
        <f t="shared" si="106"/>
        <v>НД</v>
      </c>
      <c r="W80" s="297" t="str">
        <f t="shared" si="85"/>
        <v>НД</v>
      </c>
      <c r="X80" s="503">
        <f t="shared" si="107"/>
        <v>0</v>
      </c>
      <c r="Y80" s="396">
        <f t="shared" si="108"/>
        <v>0</v>
      </c>
      <c r="Z80" s="396" t="str">
        <f t="shared" si="109"/>
        <v>НД</v>
      </c>
      <c r="AA80" s="299" t="str">
        <f t="shared" si="86"/>
        <v>НД</v>
      </c>
      <c r="AB80" s="511">
        <f>SUMIFS('Отчет РПЗ(ПЗ)_ПЗИП'!$W:$W,'Отчет РПЗ(ПЗ)_ПЗИП'!$D:$D,Справочно!$E45,'Отчет РПЗ(ПЗ)_ПЗИП'!$N:$N,"&gt;=01.04.2016",'Отчет РПЗ(ПЗ)_ПЗИП'!$N:$N,"&lt;=30.04.2016",'Отчет РПЗ(ПЗ)_ПЗИП'!$AG:$AG,"&gt;0")</f>
        <v>0</v>
      </c>
      <c r="AC80" s="397">
        <f>SUMIFS('Отчет РПЗ(ПЗ)_ПЗИП'!$AG:$AG,'Отчет РПЗ(ПЗ)_ПЗИП'!$D:$D,Справочно!$E45,'Отчет РПЗ(ПЗ)_ПЗИП'!$AO:$AO,4)</f>
        <v>0</v>
      </c>
      <c r="AD80" s="397" t="str">
        <f t="shared" si="110"/>
        <v>НД</v>
      </c>
      <c r="AE80" s="298" t="str">
        <f t="shared" si="87"/>
        <v>НД</v>
      </c>
      <c r="AF80" s="508">
        <f>SUMIFS('Отчет РПЗ(ПЗ)_ПЗИП'!$W:$W,'Отчет РПЗ(ПЗ)_ПЗИП'!$D:$D,Справочно!$E45,'Отчет РПЗ(ПЗ)_ПЗИП'!$N:$N,"&gt;=01.05.2016",'Отчет РПЗ(ПЗ)_ПЗИП'!$N:$N,"&lt;=31.05.2016",'Отчет РПЗ(ПЗ)_ПЗИП'!$AG:$AG,"&gt;0")</f>
        <v>0</v>
      </c>
      <c r="AG80" s="397">
        <f>SUMIFS('Отчет РПЗ(ПЗ)_ПЗИП'!$AG:$AG,'Отчет РПЗ(ПЗ)_ПЗИП'!$D:$D,Справочно!$E45,'Отчет РПЗ(ПЗ)_ПЗИП'!$AO:$AO,5)</f>
        <v>0</v>
      </c>
      <c r="AH80" s="397" t="str">
        <f t="shared" si="111"/>
        <v>НД</v>
      </c>
      <c r="AI80" s="298" t="str">
        <f t="shared" si="88"/>
        <v>НД</v>
      </c>
      <c r="AJ80" s="508">
        <f>SUMIFS('Отчет РПЗ(ПЗ)_ПЗИП'!$W:$W,'Отчет РПЗ(ПЗ)_ПЗИП'!$D:$D,Справочно!$E45,'Отчет РПЗ(ПЗ)_ПЗИП'!$N:$N,"&gt;=01.06.2016",'Отчет РПЗ(ПЗ)_ПЗИП'!$N:$N,"&lt;=30.06.2016",'Отчет РПЗ(ПЗ)_ПЗИП'!$AG:$AG,"&gt;0")</f>
        <v>0</v>
      </c>
      <c r="AK80" s="397">
        <f>SUMIFS('Отчет РПЗ(ПЗ)_ПЗИП'!$AG:$AG,'Отчет РПЗ(ПЗ)_ПЗИП'!$D:$D,Справочно!$E45,'Отчет РПЗ(ПЗ)_ПЗИП'!$AO:$AO,6)</f>
        <v>0</v>
      </c>
      <c r="AL80" s="397" t="str">
        <f t="shared" si="112"/>
        <v>НД</v>
      </c>
      <c r="AM80" s="298" t="str">
        <f t="shared" si="89"/>
        <v>НД</v>
      </c>
      <c r="AN80" s="503">
        <f t="shared" si="113"/>
        <v>0</v>
      </c>
      <c r="AO80" s="399">
        <f t="shared" si="114"/>
        <v>0</v>
      </c>
      <c r="AP80" s="399" t="str">
        <f t="shared" si="115"/>
        <v>НД</v>
      </c>
      <c r="AQ80" s="301" t="str">
        <f t="shared" si="90"/>
        <v>НД</v>
      </c>
      <c r="AR80" s="511">
        <f>SUMIFS('Отчет РПЗ(ПЗ)_ПЗИП'!$W:$W,'Отчет РПЗ(ПЗ)_ПЗИП'!$D:$D,Справочно!$E45,'Отчет РПЗ(ПЗ)_ПЗИП'!$N:$N,"&gt;=01.07.2016",'Отчет РПЗ(ПЗ)_ПЗИП'!$N:$N,"&lt;=31.07.2016",'Отчет РПЗ(ПЗ)_ПЗИП'!$AG:$AG,"&gt;0")</f>
        <v>0</v>
      </c>
      <c r="AS80" s="400">
        <f>SUMIFS('Отчет РПЗ(ПЗ)_ПЗИП'!$AG:$AG,'Отчет РПЗ(ПЗ)_ПЗИП'!$D:$D,Справочно!$E45,'Отчет РПЗ(ПЗ)_ПЗИП'!$AO:$AO,7)</f>
        <v>0</v>
      </c>
      <c r="AT80" s="445" t="str">
        <f t="shared" si="116"/>
        <v>НД</v>
      </c>
      <c r="AU80" s="303" t="str">
        <f t="shared" si="91"/>
        <v>НД</v>
      </c>
      <c r="AV80" s="505">
        <f>SUMIFS('Отчет РПЗ(ПЗ)_ПЗИП'!$W:$W,'Отчет РПЗ(ПЗ)_ПЗИП'!$D:$D,Справочно!$E45,'Отчет РПЗ(ПЗ)_ПЗИП'!$N:$N,"&gt;=01.08.2016",'Отчет РПЗ(ПЗ)_ПЗИП'!$N:$N,"&lt;=31.08.2016",'Отчет РПЗ(ПЗ)_ПЗИП'!$AG:$AG,"&gt;0")</f>
        <v>0</v>
      </c>
      <c r="AW80" s="400">
        <f>SUMIFS('Отчет РПЗ(ПЗ)_ПЗИП'!$AG:$AG,'Отчет РПЗ(ПЗ)_ПЗИП'!$D:$D,Справочно!$E45,'Отчет РПЗ(ПЗ)_ПЗИП'!$AO:$AO,8)</f>
        <v>0</v>
      </c>
      <c r="AX80" s="445" t="str">
        <f t="shared" si="117"/>
        <v>НД</v>
      </c>
      <c r="AY80" s="303" t="str">
        <f t="shared" si="92"/>
        <v>НД</v>
      </c>
      <c r="AZ80" s="505">
        <f>SUMIFS('Отчет РПЗ(ПЗ)_ПЗИП'!$W:$W,'Отчет РПЗ(ПЗ)_ПЗИП'!$D:$D,Справочно!$E45,'Отчет РПЗ(ПЗ)_ПЗИП'!$N:$N,"&gt;=01.09.2016",'Отчет РПЗ(ПЗ)_ПЗИП'!$N:$N,"&lt;=30.09.2016",'Отчет РПЗ(ПЗ)_ПЗИП'!$AG:$AG,"&gt;0")</f>
        <v>0</v>
      </c>
      <c r="BA80" s="400">
        <f>SUMIFS('Отчет РПЗ(ПЗ)_ПЗИП'!$AG:$AG,'Отчет РПЗ(ПЗ)_ПЗИП'!$D:$D,Справочно!$E45,'Отчет РПЗ(ПЗ)_ПЗИП'!$AO:$AO,9)</f>
        <v>0</v>
      </c>
      <c r="BB80" s="445" t="str">
        <f t="shared" si="118"/>
        <v>НД</v>
      </c>
      <c r="BC80" s="303" t="str">
        <f t="shared" si="93"/>
        <v>НД</v>
      </c>
      <c r="BD80" s="503">
        <f t="shared" si="119"/>
        <v>0</v>
      </c>
      <c r="BE80" s="402">
        <f t="shared" si="120"/>
        <v>0</v>
      </c>
      <c r="BF80" s="402" t="str">
        <f t="shared" si="121"/>
        <v>НД</v>
      </c>
      <c r="BG80" s="305" t="str">
        <f t="shared" si="94"/>
        <v>НД</v>
      </c>
      <c r="BH80" s="493">
        <f>SUMIFS('Отчет РПЗ(ПЗ)_ПЗИП'!$W:$W,'Отчет РПЗ(ПЗ)_ПЗИП'!$D:$D,Справочно!$E45,'Отчет РПЗ(ПЗ)_ПЗИП'!$N:$N,"&gt;=01.10.2016",'Отчет РПЗ(ПЗ)_ПЗИП'!$N:$N,"&lt;=31.10.2016",'Отчет РПЗ(ПЗ)_ПЗИП'!$AG:$AG,"&gt;0")</f>
        <v>0</v>
      </c>
      <c r="BI80" s="403">
        <f>SUMIFS('Отчет РПЗ(ПЗ)_ПЗИП'!$AG:$AG,'Отчет РПЗ(ПЗ)_ПЗИП'!$D:$D,Справочно!$E45,'Отчет РПЗ(ПЗ)_ПЗИП'!$AO:$AO,10)</f>
        <v>0</v>
      </c>
      <c r="BJ80" s="447" t="str">
        <f t="shared" si="122"/>
        <v>НД</v>
      </c>
      <c r="BK80" s="307" t="str">
        <f t="shared" si="95"/>
        <v>НД</v>
      </c>
      <c r="BL80" s="508">
        <f>SUMIFS('Отчет РПЗ(ПЗ)_ПЗИП'!$W:$W,'Отчет РПЗ(ПЗ)_ПЗИП'!$D:$D,Справочно!$E45,'Отчет РПЗ(ПЗ)_ПЗИП'!$N:$N,"&gt;=01.11.2016",'Отчет РПЗ(ПЗ)_ПЗИП'!$N:$N,"&lt;=30.11.2016",'Отчет РПЗ(ПЗ)_ПЗИП'!$AG:$AG,"&gt;0")</f>
        <v>0</v>
      </c>
      <c r="BM80" s="403">
        <f>SUMIFS('Отчет РПЗ(ПЗ)_ПЗИП'!$AG:$AG,'Отчет РПЗ(ПЗ)_ПЗИП'!$D:$D,Справочно!$E45,'Отчет РПЗ(ПЗ)_ПЗИП'!$AO:$AO,11)</f>
        <v>0</v>
      </c>
      <c r="BN80" s="447" t="str">
        <f t="shared" si="123"/>
        <v>НД</v>
      </c>
      <c r="BO80" s="307" t="str">
        <f t="shared" si="96"/>
        <v>НД</v>
      </c>
      <c r="BP80" s="508">
        <f>SUMIFS('Отчет РПЗ(ПЗ)_ПЗИП'!$W:$W,'Отчет РПЗ(ПЗ)_ПЗИП'!$D:$D,Справочно!$E45,'Отчет РПЗ(ПЗ)_ПЗИП'!$N:$N,"&gt;=01.12.2016",'Отчет РПЗ(ПЗ)_ПЗИП'!$N:$N,"&lt;=31.12.2016",'Отчет РПЗ(ПЗ)_ПЗИП'!$AG:$AG,"&gt;0")</f>
        <v>0</v>
      </c>
      <c r="BQ80" s="403">
        <f>SUMIFS('Отчет РПЗ(ПЗ)_ПЗИП'!$AG:$AG,'Отчет РПЗ(ПЗ)_ПЗИП'!$D:$D,Справочно!$E45,'Отчет РПЗ(ПЗ)_ПЗИП'!$AO:$AO,12)</f>
        <v>0</v>
      </c>
      <c r="BR80" s="447" t="str">
        <f t="shared" si="124"/>
        <v>НД</v>
      </c>
      <c r="BS80" s="309" t="str">
        <f t="shared" si="97"/>
        <v>НД</v>
      </c>
      <c r="BT80" s="503">
        <f t="shared" si="125"/>
        <v>0</v>
      </c>
      <c r="BU80" s="405">
        <f t="shared" si="126"/>
        <v>0</v>
      </c>
      <c r="BV80" s="405" t="str">
        <f t="shared" si="127"/>
        <v>НД</v>
      </c>
      <c r="BW80" s="310" t="str">
        <f t="shared" si="98"/>
        <v>НД</v>
      </c>
    </row>
    <row r="81" spans="2:75" ht="13.5" thickBot="1" x14ac:dyDescent="0.25">
      <c r="B81" s="73" t="s">
        <v>245</v>
      </c>
      <c r="C81" s="378" t="e">
        <f t="shared" ref="C81:H81" si="128">SUM(C56:C80)</f>
        <v>#REF!</v>
      </c>
      <c r="D81" s="496" t="e">
        <f t="shared" si="128"/>
        <v>#REF!</v>
      </c>
      <c r="E81" s="520" t="e">
        <f t="shared" si="128"/>
        <v>#REF!</v>
      </c>
      <c r="F81" s="490">
        <f t="shared" si="128"/>
        <v>0</v>
      </c>
      <c r="G81" s="521" t="e">
        <f t="shared" si="99"/>
        <v>#DIV/0!</v>
      </c>
      <c r="H81" s="522">
        <f t="shared" si="128"/>
        <v>0</v>
      </c>
      <c r="I81" s="522">
        <f t="shared" si="100"/>
        <v>0</v>
      </c>
      <c r="J81" s="323" t="e">
        <f t="shared" si="101"/>
        <v>#DIV/0!</v>
      </c>
      <c r="L81" s="512">
        <f t="shared" ref="L81:AO81" si="129">SUM(L56:L80)</f>
        <v>0</v>
      </c>
      <c r="M81" s="513">
        <f t="shared" si="129"/>
        <v>0</v>
      </c>
      <c r="N81" s="513" t="str">
        <f t="shared" si="102"/>
        <v>НД</v>
      </c>
      <c r="O81" s="337" t="str">
        <f t="shared" si="103"/>
        <v>НД</v>
      </c>
      <c r="P81" s="514">
        <f t="shared" si="129"/>
        <v>0</v>
      </c>
      <c r="Q81" s="513">
        <f t="shared" si="129"/>
        <v>0</v>
      </c>
      <c r="R81" s="513" t="str">
        <f t="shared" si="104"/>
        <v>НД</v>
      </c>
      <c r="S81" s="337" t="str">
        <f t="shared" si="105"/>
        <v>НД</v>
      </c>
      <c r="T81" s="514">
        <f t="shared" si="129"/>
        <v>0</v>
      </c>
      <c r="U81" s="513">
        <f t="shared" si="129"/>
        <v>0</v>
      </c>
      <c r="V81" s="513" t="str">
        <f t="shared" si="106"/>
        <v>НД</v>
      </c>
      <c r="W81" s="338" t="str">
        <f t="shared" si="85"/>
        <v>НД</v>
      </c>
      <c r="X81" s="515">
        <f t="shared" si="129"/>
        <v>0</v>
      </c>
      <c r="Y81" s="480">
        <f t="shared" si="129"/>
        <v>0</v>
      </c>
      <c r="Z81" s="513" t="str">
        <f t="shared" si="109"/>
        <v>НД</v>
      </c>
      <c r="AA81" s="323" t="str">
        <f t="shared" si="86"/>
        <v>НД</v>
      </c>
      <c r="AB81" s="512">
        <f t="shared" si="129"/>
        <v>0</v>
      </c>
      <c r="AC81" s="513">
        <f t="shared" si="129"/>
        <v>0</v>
      </c>
      <c r="AD81" s="513" t="str">
        <f t="shared" si="110"/>
        <v>НД</v>
      </c>
      <c r="AE81" s="324" t="str">
        <f t="shared" si="87"/>
        <v>НД</v>
      </c>
      <c r="AF81" s="514">
        <f t="shared" si="129"/>
        <v>0</v>
      </c>
      <c r="AG81" s="513">
        <f t="shared" si="129"/>
        <v>0</v>
      </c>
      <c r="AH81" s="513" t="str">
        <f>IF(AG81=0,"НД",AF81-AG81)</f>
        <v>НД</v>
      </c>
      <c r="AI81" s="324" t="str">
        <f t="shared" si="88"/>
        <v>НД</v>
      </c>
      <c r="AJ81" s="514">
        <f t="shared" si="129"/>
        <v>0</v>
      </c>
      <c r="AK81" s="513">
        <f t="shared" si="129"/>
        <v>0</v>
      </c>
      <c r="AL81" s="513" t="str">
        <f>IF(AK81=0,"НД",AJ81-AK81)</f>
        <v>НД</v>
      </c>
      <c r="AM81" s="325" t="str">
        <f t="shared" si="89"/>
        <v>НД</v>
      </c>
      <c r="AN81" s="515">
        <f t="shared" si="129"/>
        <v>0</v>
      </c>
      <c r="AO81" s="480">
        <f t="shared" si="129"/>
        <v>0</v>
      </c>
      <c r="AP81" s="480" t="str">
        <f>IF(AO81=0,"НД",AN81-AO81)</f>
        <v>НД</v>
      </c>
      <c r="AQ81" s="326" t="str">
        <f t="shared" si="90"/>
        <v>НД</v>
      </c>
      <c r="AR81" s="512">
        <f t="shared" ref="AR81:BU81" si="130">SUM(AR56:AR80)</f>
        <v>0</v>
      </c>
      <c r="AS81" s="513">
        <f t="shared" si="130"/>
        <v>0</v>
      </c>
      <c r="AT81" s="513" t="str">
        <f>IF(AS81=0,"НД",AR81-AS81)</f>
        <v>НД</v>
      </c>
      <c r="AU81" s="327" t="str">
        <f t="shared" si="91"/>
        <v>НД</v>
      </c>
      <c r="AV81" s="514">
        <f t="shared" si="130"/>
        <v>0</v>
      </c>
      <c r="AW81" s="513">
        <f t="shared" si="130"/>
        <v>0</v>
      </c>
      <c r="AX81" s="513" t="str">
        <f>IF(AW81=0,"НД",AV81-AW81)</f>
        <v>НД</v>
      </c>
      <c r="AY81" s="327" t="str">
        <f t="shared" si="92"/>
        <v>НД</v>
      </c>
      <c r="AZ81" s="514">
        <f t="shared" si="130"/>
        <v>0</v>
      </c>
      <c r="BA81" s="513">
        <f t="shared" si="130"/>
        <v>0</v>
      </c>
      <c r="BB81" s="513" t="str">
        <f>IF(BA81=0,"НД",AZ81-BA81)</f>
        <v>НД</v>
      </c>
      <c r="BC81" s="327" t="str">
        <f t="shared" si="93"/>
        <v>НД</v>
      </c>
      <c r="BD81" s="515">
        <f t="shared" si="130"/>
        <v>0</v>
      </c>
      <c r="BE81" s="480">
        <f t="shared" si="130"/>
        <v>0</v>
      </c>
      <c r="BF81" s="480" t="str">
        <f>IF(BE81=0,"НД",BD81-BE81)</f>
        <v>НД</v>
      </c>
      <c r="BG81" s="326" t="str">
        <f t="shared" si="94"/>
        <v>НД</v>
      </c>
      <c r="BH81" s="512">
        <f t="shared" si="130"/>
        <v>0</v>
      </c>
      <c r="BI81" s="513">
        <f t="shared" si="130"/>
        <v>0</v>
      </c>
      <c r="BJ81" s="513" t="str">
        <f>IF(BI81=0,"НД",BH81-BI81)</f>
        <v>НД</v>
      </c>
      <c r="BK81" s="327" t="str">
        <f t="shared" si="95"/>
        <v>НД</v>
      </c>
      <c r="BL81" s="514">
        <f t="shared" si="130"/>
        <v>0</v>
      </c>
      <c r="BM81" s="513">
        <f t="shared" si="130"/>
        <v>0</v>
      </c>
      <c r="BN81" s="513" t="str">
        <f>IF(BM81=0,"НД",BL81-BM81)</f>
        <v>НД</v>
      </c>
      <c r="BO81" s="327" t="str">
        <f t="shared" si="96"/>
        <v>НД</v>
      </c>
      <c r="BP81" s="514">
        <f t="shared" si="130"/>
        <v>0</v>
      </c>
      <c r="BQ81" s="513">
        <f t="shared" si="130"/>
        <v>0</v>
      </c>
      <c r="BR81" s="513" t="str">
        <f>IF(BQ81=0,"НД",BP81-BQ81)</f>
        <v>НД</v>
      </c>
      <c r="BS81" s="325" t="str">
        <f t="shared" si="97"/>
        <v>НД</v>
      </c>
      <c r="BT81" s="515">
        <f t="shared" si="130"/>
        <v>0</v>
      </c>
      <c r="BU81" s="480">
        <f t="shared" si="130"/>
        <v>0</v>
      </c>
      <c r="BV81" s="513" t="str">
        <f>IF(BU81=0,"НД",BT81-BU81)</f>
        <v>НД</v>
      </c>
      <c r="BW81" s="326" t="str">
        <f t="shared" si="98"/>
        <v>НД</v>
      </c>
    </row>
    <row r="82" spans="2:75" ht="36.75" customHeight="1" thickBot="1" x14ac:dyDescent="0.3">
      <c r="B82" s="853" t="s">
        <v>1323</v>
      </c>
      <c r="C82" s="853"/>
      <c r="D82" s="853"/>
      <c r="E82" s="853"/>
      <c r="F82" s="853"/>
      <c r="G82" s="855"/>
      <c r="H82" s="855"/>
      <c r="I82" s="855"/>
      <c r="J82" s="855"/>
      <c r="L82" s="329"/>
      <c r="M82" s="110"/>
      <c r="N82" s="110"/>
      <c r="O82" s="110"/>
      <c r="P82" s="110"/>
      <c r="Q82" s="110"/>
      <c r="R82" s="110"/>
      <c r="S82" s="110"/>
      <c r="T82" s="110"/>
      <c r="U82" s="110"/>
      <c r="V82" s="110"/>
      <c r="W82" s="110"/>
      <c r="X82" s="110"/>
      <c r="Y82" s="110"/>
      <c r="Z82" s="110"/>
      <c r="AA82" s="330"/>
      <c r="AQ82" s="331"/>
      <c r="BG82" s="331"/>
      <c r="BW82" s="331"/>
    </row>
    <row r="83" spans="2:75" ht="27.75" customHeight="1" thickBot="1" x14ac:dyDescent="0.25">
      <c r="B83" s="795" t="s">
        <v>248</v>
      </c>
      <c r="C83" s="320" t="s">
        <v>319</v>
      </c>
      <c r="D83" s="320" t="s">
        <v>243</v>
      </c>
      <c r="E83" s="321" t="s">
        <v>319</v>
      </c>
      <c r="F83" s="328" t="s">
        <v>244</v>
      </c>
      <c r="G83" s="320" t="s">
        <v>318</v>
      </c>
      <c r="H83" s="320" t="s">
        <v>246</v>
      </c>
      <c r="I83" s="320" t="s">
        <v>26</v>
      </c>
      <c r="J83" s="320" t="s">
        <v>1253</v>
      </c>
      <c r="L83" s="797" t="s">
        <v>319</v>
      </c>
      <c r="M83" s="798"/>
      <c r="N83" s="798" t="s">
        <v>318</v>
      </c>
      <c r="O83" s="798"/>
      <c r="P83" s="798" t="s">
        <v>319</v>
      </c>
      <c r="Q83" s="798"/>
      <c r="R83" s="798" t="s">
        <v>318</v>
      </c>
      <c r="S83" s="798"/>
      <c r="T83" s="798" t="s">
        <v>319</v>
      </c>
      <c r="U83" s="798"/>
      <c r="V83" s="798" t="s">
        <v>318</v>
      </c>
      <c r="W83" s="799"/>
      <c r="X83" s="800" t="s">
        <v>319</v>
      </c>
      <c r="Y83" s="800"/>
      <c r="Z83" s="800" t="s">
        <v>318</v>
      </c>
      <c r="AA83" s="800"/>
      <c r="AB83" s="797" t="s">
        <v>319</v>
      </c>
      <c r="AC83" s="798"/>
      <c r="AD83" s="798" t="s">
        <v>318</v>
      </c>
      <c r="AE83" s="798"/>
      <c r="AF83" s="798" t="s">
        <v>319</v>
      </c>
      <c r="AG83" s="798"/>
      <c r="AH83" s="798" t="s">
        <v>318</v>
      </c>
      <c r="AI83" s="798"/>
      <c r="AJ83" s="798" t="s">
        <v>319</v>
      </c>
      <c r="AK83" s="798"/>
      <c r="AL83" s="798" t="s">
        <v>318</v>
      </c>
      <c r="AM83" s="799"/>
      <c r="AN83" s="800" t="s">
        <v>319</v>
      </c>
      <c r="AO83" s="800"/>
      <c r="AP83" s="800" t="s">
        <v>318</v>
      </c>
      <c r="AQ83" s="800"/>
      <c r="AR83" s="797" t="s">
        <v>319</v>
      </c>
      <c r="AS83" s="798"/>
      <c r="AT83" s="798" t="s">
        <v>318</v>
      </c>
      <c r="AU83" s="798"/>
      <c r="AV83" s="798" t="s">
        <v>319</v>
      </c>
      <c r="AW83" s="798"/>
      <c r="AX83" s="798" t="s">
        <v>318</v>
      </c>
      <c r="AY83" s="798"/>
      <c r="AZ83" s="798" t="s">
        <v>319</v>
      </c>
      <c r="BA83" s="798"/>
      <c r="BB83" s="798" t="s">
        <v>318</v>
      </c>
      <c r="BC83" s="799"/>
      <c r="BD83" s="800" t="s">
        <v>319</v>
      </c>
      <c r="BE83" s="800"/>
      <c r="BF83" s="800" t="s">
        <v>318</v>
      </c>
      <c r="BG83" s="800"/>
      <c r="BH83" s="797" t="s">
        <v>319</v>
      </c>
      <c r="BI83" s="798"/>
      <c r="BJ83" s="798" t="s">
        <v>318</v>
      </c>
      <c r="BK83" s="798"/>
      <c r="BL83" s="798" t="s">
        <v>319</v>
      </c>
      <c r="BM83" s="798"/>
      <c r="BN83" s="798" t="s">
        <v>318</v>
      </c>
      <c r="BO83" s="798"/>
      <c r="BP83" s="798" t="s">
        <v>319</v>
      </c>
      <c r="BQ83" s="798"/>
      <c r="BR83" s="798" t="s">
        <v>318</v>
      </c>
      <c r="BS83" s="799"/>
      <c r="BT83" s="800" t="s">
        <v>319</v>
      </c>
      <c r="BU83" s="800"/>
      <c r="BV83" s="800" t="s">
        <v>318</v>
      </c>
      <c r="BW83" s="800"/>
    </row>
    <row r="84" spans="2:75" ht="13.5" customHeight="1" thickBot="1" x14ac:dyDescent="0.25">
      <c r="B84" s="796"/>
      <c r="C84" s="794" t="s">
        <v>40</v>
      </c>
      <c r="D84" s="790"/>
      <c r="E84" s="801" t="s">
        <v>250</v>
      </c>
      <c r="F84" s="789"/>
      <c r="G84" s="801" t="s">
        <v>40</v>
      </c>
      <c r="H84" s="802"/>
      <c r="I84" s="803" t="s">
        <v>250</v>
      </c>
      <c r="J84" s="802"/>
      <c r="L84" s="317" t="s">
        <v>40</v>
      </c>
      <c r="M84" s="314" t="s">
        <v>250</v>
      </c>
      <c r="N84" s="314" t="s">
        <v>40</v>
      </c>
      <c r="O84" s="314" t="s">
        <v>250</v>
      </c>
      <c r="P84" s="314" t="s">
        <v>40</v>
      </c>
      <c r="Q84" s="314" t="s">
        <v>250</v>
      </c>
      <c r="R84" s="314" t="s">
        <v>40</v>
      </c>
      <c r="S84" s="314" t="s">
        <v>250</v>
      </c>
      <c r="T84" s="314" t="s">
        <v>40</v>
      </c>
      <c r="U84" s="314" t="s">
        <v>250</v>
      </c>
      <c r="V84" s="314" t="s">
        <v>40</v>
      </c>
      <c r="W84" s="315" t="s">
        <v>250</v>
      </c>
      <c r="X84" s="318" t="s">
        <v>40</v>
      </c>
      <c r="Y84" s="318" t="s">
        <v>250</v>
      </c>
      <c r="Z84" s="318" t="s">
        <v>40</v>
      </c>
      <c r="AA84" s="318" t="s">
        <v>250</v>
      </c>
      <c r="AB84" s="317" t="s">
        <v>40</v>
      </c>
      <c r="AC84" s="314" t="s">
        <v>250</v>
      </c>
      <c r="AD84" s="314" t="s">
        <v>40</v>
      </c>
      <c r="AE84" s="314" t="s">
        <v>250</v>
      </c>
      <c r="AF84" s="314" t="s">
        <v>40</v>
      </c>
      <c r="AG84" s="314" t="s">
        <v>250</v>
      </c>
      <c r="AH84" s="314" t="s">
        <v>40</v>
      </c>
      <c r="AI84" s="314" t="s">
        <v>250</v>
      </c>
      <c r="AJ84" s="314" t="s">
        <v>40</v>
      </c>
      <c r="AK84" s="314" t="s">
        <v>250</v>
      </c>
      <c r="AL84" s="314" t="s">
        <v>40</v>
      </c>
      <c r="AM84" s="315" t="s">
        <v>250</v>
      </c>
      <c r="AN84" s="318" t="s">
        <v>40</v>
      </c>
      <c r="AO84" s="318" t="s">
        <v>250</v>
      </c>
      <c r="AP84" s="318" t="s">
        <v>40</v>
      </c>
      <c r="AQ84" s="318" t="s">
        <v>250</v>
      </c>
      <c r="AR84" s="317" t="s">
        <v>40</v>
      </c>
      <c r="AS84" s="314" t="s">
        <v>250</v>
      </c>
      <c r="AT84" s="314" t="s">
        <v>40</v>
      </c>
      <c r="AU84" s="314" t="s">
        <v>250</v>
      </c>
      <c r="AV84" s="314" t="s">
        <v>40</v>
      </c>
      <c r="AW84" s="314" t="s">
        <v>250</v>
      </c>
      <c r="AX84" s="314" t="s">
        <v>40</v>
      </c>
      <c r="AY84" s="314" t="s">
        <v>250</v>
      </c>
      <c r="AZ84" s="314" t="s">
        <v>40</v>
      </c>
      <c r="BA84" s="314" t="s">
        <v>250</v>
      </c>
      <c r="BB84" s="314" t="s">
        <v>40</v>
      </c>
      <c r="BC84" s="315" t="s">
        <v>250</v>
      </c>
      <c r="BD84" s="318" t="s">
        <v>40</v>
      </c>
      <c r="BE84" s="318" t="s">
        <v>250</v>
      </c>
      <c r="BF84" s="318" t="s">
        <v>40</v>
      </c>
      <c r="BG84" s="318" t="s">
        <v>250</v>
      </c>
      <c r="BH84" s="317" t="s">
        <v>40</v>
      </c>
      <c r="BI84" s="314" t="s">
        <v>250</v>
      </c>
      <c r="BJ84" s="314" t="s">
        <v>40</v>
      </c>
      <c r="BK84" s="314" t="s">
        <v>250</v>
      </c>
      <c r="BL84" s="314" t="s">
        <v>40</v>
      </c>
      <c r="BM84" s="314" t="s">
        <v>250</v>
      </c>
      <c r="BN84" s="314" t="s">
        <v>40</v>
      </c>
      <c r="BO84" s="314" t="s">
        <v>250</v>
      </c>
      <c r="BP84" s="314" t="s">
        <v>40</v>
      </c>
      <c r="BQ84" s="314" t="s">
        <v>250</v>
      </c>
      <c r="BR84" s="314" t="s">
        <v>40</v>
      </c>
      <c r="BS84" s="315" t="s">
        <v>250</v>
      </c>
      <c r="BT84" s="318" t="s">
        <v>40</v>
      </c>
      <c r="BU84" s="318" t="s">
        <v>250</v>
      </c>
      <c r="BV84" s="318" t="s">
        <v>40</v>
      </c>
      <c r="BW84" s="318" t="s">
        <v>250</v>
      </c>
    </row>
    <row r="85" spans="2:75" ht="13.5" thickBot="1" x14ac:dyDescent="0.25">
      <c r="B85" s="90" t="s">
        <v>249</v>
      </c>
      <c r="C85" s="105">
        <f>ПП!B73</f>
        <v>122</v>
      </c>
      <c r="D85" s="523">
        <f>ПП!C73</f>
        <v>0.65591397849462363</v>
      </c>
      <c r="E85" s="66">
        <f>COUNTIFS('Отчет РПЗ(ПЗ)_ПЗИП'!H:H,Справочно!$E16,'Отчет РПЗ(ПЗ)_ПЗИП'!AG:AG, "&gt;0")</f>
        <v>0</v>
      </c>
      <c r="F85" s="492" t="e">
        <f t="shared" ref="F85:F86" si="131">E85/$E$52</f>
        <v>#DIV/0!</v>
      </c>
      <c r="G85" s="507">
        <f>ПП!D73</f>
        <v>301010431.53999996</v>
      </c>
      <c r="H85" s="524">
        <f>ПП!E73</f>
        <v>0.69666270290134336</v>
      </c>
      <c r="I85" s="495">
        <f>SUMIF(РПЗ!$R:$R,Справочно!$E16,'Отчет РПЗ(ПЗ)_ПЗИП'!$AG:$AG)</f>
        <v>0</v>
      </c>
      <c r="J85" s="492" t="e">
        <f t="shared" ref="J85:J86" si="132">I85/$I$52</f>
        <v>#DIV/0!</v>
      </c>
      <c r="L85" s="201">
        <f>ПП!G73</f>
        <v>0</v>
      </c>
      <c r="M85" s="184">
        <f>COUNTIFS(РПЗ!$R:$R,Справочно!$E16,'Отчет РПЗ(ПЗ)_ПЗИП'!$AO:$AO,1,'Отчет РПЗ(ПЗ)_ПЗИП'!$AG:$AG,"&gt;0")</f>
        <v>0</v>
      </c>
      <c r="N85" s="502">
        <f>ПП!H73</f>
        <v>0</v>
      </c>
      <c r="O85" s="406">
        <f>SUMIFS('Отчет РПЗ(ПЗ)_ПЗИП'!$AG:$AG,РПЗ!$R:$R,Справочно!$E16,'Отчет РПЗ(ПЗ)_ПЗИП'!$AO:$AO,1,'Отчет РПЗ(ПЗ)_ПЗИП'!$AG:$AG,"&gt;0")</f>
        <v>0</v>
      </c>
      <c r="P85" s="203">
        <f>ПП!I73</f>
        <v>0</v>
      </c>
      <c r="Q85" s="184">
        <f>COUNTIFS(РПЗ!$R:$R,Справочно!$E16,'Отчет РПЗ(ПЗ)_ПЗИП'!$AO:$AO,2,'Отчет РПЗ(ПЗ)_ПЗИП'!$AG:$AG,"&gt;0")</f>
        <v>0</v>
      </c>
      <c r="R85" s="502">
        <f>ПП!J73</f>
        <v>0</v>
      </c>
      <c r="S85" s="406">
        <f>SUMIFS('Отчет РПЗ(ПЗ)_ПЗИП'!$AG:$AG,РПЗ!$R:$R,Справочно!$E16,'Отчет РПЗ(ПЗ)_ПЗИП'!$AO:$AO,2,'Отчет РПЗ(ПЗ)_ПЗИП'!$AG:$AG,"&gt;0")</f>
        <v>0</v>
      </c>
      <c r="T85" s="203">
        <f>ПП!K73</f>
        <v>0</v>
      </c>
      <c r="U85" s="184">
        <f>COUNTIFS(РПЗ!$R:$R,Справочно!$E16,'Отчет РПЗ(ПЗ)_ПЗИП'!$AO:$AO,3,'Отчет РПЗ(ПЗ)_ПЗИП'!$AG:$AG,"&gt;0")</f>
        <v>0</v>
      </c>
      <c r="V85" s="502">
        <f>ПП!L73</f>
        <v>0</v>
      </c>
      <c r="W85" s="442">
        <f>SUMIFS('Отчет РПЗ(ПЗ)_ПЗИП'!$AG:$AG,РПЗ!$R:$R,Справочно!$E16,'Отчет РПЗ(ПЗ)_ПЗИП'!$AO:$AO,3,'Отчет РПЗ(ПЗ)_ПЗИП'!$AG:$AG,"&gt;0")</f>
        <v>0</v>
      </c>
      <c r="X85" s="211">
        <f>ПП!M73</f>
        <v>0</v>
      </c>
      <c r="Y85" s="212">
        <f t="shared" ref="Y85:Y87" si="133">SUM(M85,Q85,U85)</f>
        <v>0</v>
      </c>
      <c r="Z85" s="503">
        <f>ПП!N73</f>
        <v>0</v>
      </c>
      <c r="AA85" s="396">
        <f t="shared" ref="AA85:AA87" si="134">SUM(O85,S85,W85)</f>
        <v>0</v>
      </c>
      <c r="AB85" s="203">
        <f>ПП!O73</f>
        <v>0</v>
      </c>
      <c r="AC85" s="223">
        <f>COUNTIFS(РПЗ!$R:$R,Справочно!$E16,'Отчет РПЗ(ПЗ)_ПЗИП'!$AO:$AO,4,'Отчет РПЗ(ПЗ)_ПЗИП'!$AG:$AG,"&gt;0")</f>
        <v>0</v>
      </c>
      <c r="AD85" s="502">
        <f>ПП!P73</f>
        <v>0</v>
      </c>
      <c r="AE85" s="443">
        <f>SUMIFS('Отчет РПЗ(ПЗ)_ПЗИП'!$AG:$AG,РПЗ!$R:$R,Справочно!$E16,'Отчет РПЗ(ПЗ)_ПЗИП'!$AO:$AO,4,'Отчет РПЗ(ПЗ)_ПЗИП'!$AG:$AG,"&gt;0")</f>
        <v>0</v>
      </c>
      <c r="AF85" s="203">
        <f>ПП!Q73</f>
        <v>0</v>
      </c>
      <c r="AG85" s="223">
        <f>COUNTIFS(РПЗ!$R:$R,Справочно!$E16,'Отчет РПЗ(ПЗ)_ПЗИП'!$AO:$AO,5,'Отчет РПЗ(ПЗ)_ПЗИП'!$AG:$AG,"&gt;0")</f>
        <v>0</v>
      </c>
      <c r="AH85" s="502">
        <f>ПП!R73</f>
        <v>0</v>
      </c>
      <c r="AI85" s="443">
        <f>SUMIFS('Отчет РПЗ(ПЗ)_ПЗИП'!$AG:$AG,РПЗ!$R:$R,Справочно!$E16,'Отчет РПЗ(ПЗ)_ПЗИП'!$AO:$AO,5,'Отчет РПЗ(ПЗ)_ПЗИП'!$AG:$AG,"&gt;0")</f>
        <v>0</v>
      </c>
      <c r="AJ85" s="203">
        <f>ПП!S73</f>
        <v>0</v>
      </c>
      <c r="AK85" s="223">
        <f>COUNTIFS(РПЗ!$R:$R,Справочно!$E16,'Отчет РПЗ(ПЗ)_ПЗИП'!$AO:$AO,6,'Отчет РПЗ(ПЗ)_ПЗИП'!$AG:$AG,"&gt;0")</f>
        <v>0</v>
      </c>
      <c r="AL85" s="502">
        <f>ПП!T73</f>
        <v>0</v>
      </c>
      <c r="AM85" s="444">
        <f>SUMIFS('Отчет РПЗ(ПЗ)_ПЗИП'!$AG:$AG,РПЗ!$R:$R,Справочно!$E16,'Отчет РПЗ(ПЗ)_ПЗИП'!$AO:$AO,6,'Отчет РПЗ(ПЗ)_ПЗИП'!$AG:$AG,"&gt;0")</f>
        <v>0</v>
      </c>
      <c r="AN85" s="211">
        <f>ПП!U73</f>
        <v>0</v>
      </c>
      <c r="AO85" s="225">
        <f t="shared" ref="AO85:AO87" si="135">SUM(AC85,AG85,AK85)</f>
        <v>0</v>
      </c>
      <c r="AP85" s="503">
        <f>ПП!V73</f>
        <v>0</v>
      </c>
      <c r="AQ85" s="399">
        <f t="shared" ref="AQ85:AQ87" si="136">SUM(AE85,AI85,AM85)</f>
        <v>0</v>
      </c>
      <c r="AR85" s="332">
        <f>ПП!W73</f>
        <v>0</v>
      </c>
      <c r="AS85" s="180">
        <f>COUNTIFS(РПЗ!$R:$R,Справочно!$E16,'Отчет РПЗ(ПЗ)_ПЗИП'!$AO:$AO,7,'Отчет РПЗ(ПЗ)_ПЗИП'!$AG:$AG,"&gt;0")</f>
        <v>0</v>
      </c>
      <c r="AT85" s="502">
        <f>ПП!X73</f>
        <v>0</v>
      </c>
      <c r="AU85" s="445">
        <f>SUMIFS('Отчет РПЗ(ПЗ)_ПЗИП'!$AG:$AG,РПЗ!$R:$R,Справочно!$E16,'Отчет РПЗ(ПЗ)_ПЗИП'!$AO:$AO,7,'Отчет РПЗ(ПЗ)_ПЗИП'!$AG:$AG,"&gt;0")</f>
        <v>0</v>
      </c>
      <c r="AV85" s="203">
        <f>ПП!Y73</f>
        <v>0</v>
      </c>
      <c r="AW85" s="180">
        <f>COUNTIFS(РПЗ!$R:$R,Справочно!$E16,'Отчет РПЗ(ПЗ)_ПЗИП'!$AO:$AO,8,'Отчет РПЗ(ПЗ)_ПЗИП'!$AG:$AG,"&gt;0")</f>
        <v>0</v>
      </c>
      <c r="AX85" s="502">
        <f>ПП!Z73</f>
        <v>0</v>
      </c>
      <c r="AY85" s="445">
        <f>SUMIFS('Отчет РПЗ(ПЗ)_ПЗИП'!$AG:$AG,РПЗ!$R:$R,Справочно!$E16,'Отчет РПЗ(ПЗ)_ПЗИП'!$AO:$AO,8,'Отчет РПЗ(ПЗ)_ПЗИП'!$AG:$AG,"&gt;0")</f>
        <v>0</v>
      </c>
      <c r="AZ85" s="203">
        <f>ПП!AA73</f>
        <v>0</v>
      </c>
      <c r="BA85" s="180">
        <f>COUNTIFS(РПЗ!$R:$R,Справочно!$E16,'Отчет РПЗ(ПЗ)_ПЗИП'!$AO:$AO,9,'Отчет РПЗ(ПЗ)_ПЗИП'!$AG:$AG,"&gt;0")</f>
        <v>0</v>
      </c>
      <c r="BB85" s="502">
        <f>ПП!AB73</f>
        <v>0</v>
      </c>
      <c r="BC85" s="446">
        <f>SUMIFS('Отчет РПЗ(ПЗ)_ПЗИП'!$AG:$AG,РПЗ!$R:$R,Справочно!$E16,'Отчет РПЗ(ПЗ)_ПЗИП'!$AO:$AO,9,'Отчет РПЗ(ПЗ)_ПЗИП'!$AG:$AG,"&gt;0")</f>
        <v>0</v>
      </c>
      <c r="BD85" s="211">
        <f>ПП!AC73</f>
        <v>0</v>
      </c>
      <c r="BE85" s="220">
        <f t="shared" ref="BE85:BE87" si="137">SUM(AS85,AW85,BA85)</f>
        <v>0</v>
      </c>
      <c r="BF85" s="503">
        <f>ПП!AD73</f>
        <v>0</v>
      </c>
      <c r="BG85" s="402">
        <f t="shared" ref="BG85:BG87" si="138">SUM(AU85,AY85,BC85)</f>
        <v>0</v>
      </c>
      <c r="BH85" s="332">
        <f>ПП!AE73</f>
        <v>0</v>
      </c>
      <c r="BI85" s="217">
        <f>COUNTIFS(РПЗ!$R:$R,Справочно!$E16,'Отчет РПЗ(ПЗ)_ПЗИП'!$AO:$AO,10,'Отчет РПЗ(ПЗ)_ПЗИП'!$AG:$AG,"&gt;0")</f>
        <v>0</v>
      </c>
      <c r="BJ85" s="502">
        <f>ПП!AF73</f>
        <v>0</v>
      </c>
      <c r="BK85" s="447">
        <f>SUMIFS('Отчет РПЗ(ПЗ)_ПЗИП'!$AG:$AG,РПЗ!$R:$R,Справочно!$E16,'Отчет РПЗ(ПЗ)_ПЗИП'!$AO:$AO,10,'Отчет РПЗ(ПЗ)_ПЗИП'!$AG:$AG,"&gt;0")</f>
        <v>0</v>
      </c>
      <c r="BL85" s="203">
        <f>ПП!AG73</f>
        <v>0</v>
      </c>
      <c r="BM85" s="217">
        <f>COUNTIFS(РПЗ!$R:$R,Справочно!$E16,'Отчет РПЗ(ПЗ)_ПЗИП'!$AO:$AO,11,'Отчет РПЗ(ПЗ)_ПЗИП'!$AG:$AG,"&gt;0")</f>
        <v>0</v>
      </c>
      <c r="BN85" s="502">
        <f>ПП!AH73</f>
        <v>0</v>
      </c>
      <c r="BO85" s="447">
        <f>SUMIFS('Отчет РПЗ(ПЗ)_ПЗИП'!$AG:$AG,РПЗ!$R:$R,Справочно!$E16,'Отчет РПЗ(ПЗ)_ПЗИП'!$AO:$AO,11,'Отчет РПЗ(ПЗ)_ПЗИП'!$AG:$AG,"&gt;0")</f>
        <v>0</v>
      </c>
      <c r="BP85" s="203">
        <f>ПП!AI73</f>
        <v>0</v>
      </c>
      <c r="BQ85" s="217">
        <f>COUNTIFS(РПЗ!$R:$R,Справочно!$E16,'Отчет РПЗ(ПЗ)_ПЗИП'!$AO:$AO,12,'Отчет РПЗ(ПЗ)_ПЗИП'!$AG:$AG,"&gt;0")</f>
        <v>0</v>
      </c>
      <c r="BR85" s="502">
        <f>ПП!AJ73</f>
        <v>0</v>
      </c>
      <c r="BS85" s="448">
        <f>SUMIFS('Отчет РПЗ(ПЗ)_ПЗИП'!$AG:$AG,РПЗ!$R:$R,Справочно!$E16,'Отчет РПЗ(ПЗ)_ПЗИП'!$AO:$AO,12,'Отчет РПЗ(ПЗ)_ПЗИП'!$AG:$AG,"&gt;0")</f>
        <v>0</v>
      </c>
      <c r="BT85" s="211">
        <f>ПП!AK73</f>
        <v>0</v>
      </c>
      <c r="BU85" s="219">
        <f t="shared" ref="BU85:BU87" si="139">SUM(BI85,BM85,BQ85)</f>
        <v>0</v>
      </c>
      <c r="BV85" s="503">
        <f>ПП!AL73</f>
        <v>0</v>
      </c>
      <c r="BW85" s="405">
        <f t="shared" ref="BW85:BW87" si="140">SUM(BK85,BO85,BS85)</f>
        <v>0</v>
      </c>
    </row>
    <row r="86" spans="2:75" ht="13.5" thickBot="1" x14ac:dyDescent="0.25">
      <c r="B86" s="91" t="s">
        <v>1302</v>
      </c>
      <c r="C86" s="105">
        <f>ПП!B74</f>
        <v>77</v>
      </c>
      <c r="D86" s="523">
        <f>ПП!C74</f>
        <v>0.41397849462365593</v>
      </c>
      <c r="E86" s="66">
        <f>COUNTIFS('Отчет РПЗ(ПЗ)_ПЗИП'!H:H,Справочно!$E17,'Отчет РПЗ(ПЗ)_ПЗИП'!AG:AG, "&gt;0")</f>
        <v>0</v>
      </c>
      <c r="F86" s="492" t="e">
        <f t="shared" si="131"/>
        <v>#DIV/0!</v>
      </c>
      <c r="G86" s="525">
        <f>ПП!D74</f>
        <v>127591016.57000001</v>
      </c>
      <c r="H86" s="526">
        <f>ПП!E74</f>
        <v>0.29529841213418007</v>
      </c>
      <c r="I86" s="495">
        <f>SUMIF(РПЗ!$R:$R,Справочно!$E17,'Отчет РПЗ(ПЗ)_ПЗИП'!$AG:$AG)</f>
        <v>0</v>
      </c>
      <c r="J86" s="492" t="e">
        <f t="shared" si="132"/>
        <v>#DIV/0!</v>
      </c>
      <c r="L86" s="204">
        <f>ПП!G74</f>
        <v>0</v>
      </c>
      <c r="M86" s="184">
        <f>COUNTIFS(РПЗ!$R:$R,Справочно!$E17,'Отчет РПЗ(ПЗ)_ПЗИП'!$AO:$AO,1,'Отчет РПЗ(ПЗ)_ПЗИП'!$AG:$AG,"&gt;0")</f>
        <v>0</v>
      </c>
      <c r="N86" s="505">
        <f>ПП!H74</f>
        <v>0</v>
      </c>
      <c r="O86" s="406">
        <f>SUMIFS('Отчет РПЗ(ПЗ)_ПЗИП'!$AG:$AG,РПЗ!$R:$R,Справочно!$E17,'Отчет РПЗ(ПЗ)_ПЗИП'!$AO:$AO,1,'Отчет РПЗ(ПЗ)_ПЗИП'!$AG:$AG,"&gt;0")</f>
        <v>0</v>
      </c>
      <c r="P86" s="206">
        <f>ПП!I74</f>
        <v>0</v>
      </c>
      <c r="Q86" s="184">
        <f>COUNTIFS(РПЗ!$R:$R,Справочно!$E17,'Отчет РПЗ(ПЗ)_ПЗИП'!$AO:$AO,2,'Отчет РПЗ(ПЗ)_ПЗИП'!$AG:$AG,"&gt;0")</f>
        <v>0</v>
      </c>
      <c r="R86" s="505">
        <f>ПП!J74</f>
        <v>0</v>
      </c>
      <c r="S86" s="406">
        <f>SUMIFS('Отчет РПЗ(ПЗ)_ПЗИП'!$AG:$AG,РПЗ!$R:$R,Справочно!$E17,'Отчет РПЗ(ПЗ)_ПЗИП'!$AO:$AO,2,'Отчет РПЗ(ПЗ)_ПЗИП'!$AG:$AG,"&gt;0")</f>
        <v>0</v>
      </c>
      <c r="T86" s="206">
        <f>ПП!K74</f>
        <v>0</v>
      </c>
      <c r="U86" s="184">
        <f>COUNTIFS(РПЗ!$R:$R,Справочно!$E17,'Отчет РПЗ(ПЗ)_ПЗИП'!$AO:$AO,3,'Отчет РПЗ(ПЗ)_ПЗИП'!$AG:$AG,"&gt;0")</f>
        <v>0</v>
      </c>
      <c r="V86" s="505">
        <f>ПП!L74</f>
        <v>0</v>
      </c>
      <c r="W86" s="442">
        <f>SUMIFS('Отчет РПЗ(ПЗ)_ПЗИП'!$AG:$AG,РПЗ!$R:$R,Справочно!$E17,'Отчет РПЗ(ПЗ)_ПЗИП'!$AO:$AO,3,'Отчет РПЗ(ПЗ)_ПЗИП'!$AG:$AG,"&gt;0")</f>
        <v>0</v>
      </c>
      <c r="X86" s="211">
        <f>ПП!M74</f>
        <v>0</v>
      </c>
      <c r="Y86" s="212">
        <f t="shared" si="133"/>
        <v>0</v>
      </c>
      <c r="Z86" s="503">
        <f>ПП!N74</f>
        <v>0</v>
      </c>
      <c r="AA86" s="396">
        <f t="shared" si="134"/>
        <v>0</v>
      </c>
      <c r="AB86" s="206">
        <f>ПП!O74</f>
        <v>0</v>
      </c>
      <c r="AC86" s="223">
        <f>COUNTIFS(РПЗ!$R:$R,Справочно!$E17,'Отчет РПЗ(ПЗ)_ПЗИП'!$AO:$AO,4,'Отчет РПЗ(ПЗ)_ПЗИП'!$AG:$AG,"&gt;0")</f>
        <v>0</v>
      </c>
      <c r="AD86" s="505">
        <f>ПП!P74</f>
        <v>0</v>
      </c>
      <c r="AE86" s="443">
        <f>SUMIFS('Отчет РПЗ(ПЗ)_ПЗИП'!$AG:$AG,РПЗ!$R:$R,Справочно!$E17,'Отчет РПЗ(ПЗ)_ПЗИП'!$AO:$AO,4,'Отчет РПЗ(ПЗ)_ПЗИП'!$AG:$AG,"&gt;0")</f>
        <v>0</v>
      </c>
      <c r="AF86" s="206">
        <f>ПП!Q74</f>
        <v>0</v>
      </c>
      <c r="AG86" s="223">
        <f>COUNTIFS(РПЗ!$R:$R,Справочно!$E17,'Отчет РПЗ(ПЗ)_ПЗИП'!$AO:$AO,5,'Отчет РПЗ(ПЗ)_ПЗИП'!$AG:$AG,"&gt;0")</f>
        <v>0</v>
      </c>
      <c r="AH86" s="505">
        <f>ПП!R74</f>
        <v>0</v>
      </c>
      <c r="AI86" s="443">
        <f>SUMIFS('Отчет РПЗ(ПЗ)_ПЗИП'!$AG:$AG,РПЗ!$R:$R,Справочно!$E17,'Отчет РПЗ(ПЗ)_ПЗИП'!$AO:$AO,5,'Отчет РПЗ(ПЗ)_ПЗИП'!$AG:$AG,"&gt;0")</f>
        <v>0</v>
      </c>
      <c r="AJ86" s="206">
        <f>ПП!S74</f>
        <v>0</v>
      </c>
      <c r="AK86" s="223">
        <f>COUNTIFS(РПЗ!$R:$R,Справочно!$E17,'Отчет РПЗ(ПЗ)_ПЗИП'!$AO:$AO,6,'Отчет РПЗ(ПЗ)_ПЗИП'!$AG:$AG,"&gt;0")</f>
        <v>0</v>
      </c>
      <c r="AL86" s="505">
        <f>ПП!T74</f>
        <v>0</v>
      </c>
      <c r="AM86" s="444">
        <f>SUMIFS('Отчет РПЗ(ПЗ)_ПЗИП'!$AG:$AG,РПЗ!$R:$R,Справочно!$E17,'Отчет РПЗ(ПЗ)_ПЗИП'!$AO:$AO,6,'Отчет РПЗ(ПЗ)_ПЗИП'!$AG:$AG,"&gt;0")</f>
        <v>0</v>
      </c>
      <c r="AN86" s="211">
        <f>ПП!U74</f>
        <v>0</v>
      </c>
      <c r="AO86" s="225">
        <f t="shared" si="135"/>
        <v>0</v>
      </c>
      <c r="AP86" s="503">
        <f>ПП!V74</f>
        <v>0</v>
      </c>
      <c r="AQ86" s="399">
        <f t="shared" si="136"/>
        <v>0</v>
      </c>
      <c r="AR86" s="333">
        <f>ПП!W74</f>
        <v>0</v>
      </c>
      <c r="AS86" s="180">
        <f>COUNTIFS(РПЗ!$R:$R,Справочно!$E17,'Отчет РПЗ(ПЗ)_ПЗИП'!$AO:$AO,7,'Отчет РПЗ(ПЗ)_ПЗИП'!$AG:$AG,"&gt;0")</f>
        <v>0</v>
      </c>
      <c r="AT86" s="505">
        <f>ПП!X74</f>
        <v>0</v>
      </c>
      <c r="AU86" s="445">
        <f>SUMIFS('Отчет РПЗ(ПЗ)_ПЗИП'!$AG:$AG,РПЗ!$R:$R,Справочно!$E17,'Отчет РПЗ(ПЗ)_ПЗИП'!$AO:$AO,7,'Отчет РПЗ(ПЗ)_ПЗИП'!$AG:$AG,"&gt;0")</f>
        <v>0</v>
      </c>
      <c r="AV86" s="206">
        <f>ПП!Y74</f>
        <v>0</v>
      </c>
      <c r="AW86" s="180">
        <f>COUNTIFS(РПЗ!$R:$R,Справочно!$E17,'Отчет РПЗ(ПЗ)_ПЗИП'!$AO:$AO,8,'Отчет РПЗ(ПЗ)_ПЗИП'!$AG:$AG,"&gt;0")</f>
        <v>0</v>
      </c>
      <c r="AX86" s="505">
        <f>ПП!Z74</f>
        <v>0</v>
      </c>
      <c r="AY86" s="445">
        <f>SUMIFS('Отчет РПЗ(ПЗ)_ПЗИП'!$AG:$AG,РПЗ!$R:$R,Справочно!$E17,'Отчет РПЗ(ПЗ)_ПЗИП'!$AO:$AO,8,'Отчет РПЗ(ПЗ)_ПЗИП'!$AG:$AG,"&gt;0")</f>
        <v>0</v>
      </c>
      <c r="AZ86" s="206">
        <f>ПП!AA74</f>
        <v>0</v>
      </c>
      <c r="BA86" s="180">
        <f>COUNTIFS(РПЗ!$R:$R,Справочно!$E17,'Отчет РПЗ(ПЗ)_ПЗИП'!$AO:$AO,9,'Отчет РПЗ(ПЗ)_ПЗИП'!$AG:$AG,"&gt;0")</f>
        <v>0</v>
      </c>
      <c r="BB86" s="505">
        <f>ПП!AB74</f>
        <v>0</v>
      </c>
      <c r="BC86" s="446">
        <f>SUMIFS('Отчет РПЗ(ПЗ)_ПЗИП'!$AG:$AG,РПЗ!$R:$R,Справочно!$E17,'Отчет РПЗ(ПЗ)_ПЗИП'!$AO:$AO,9,'Отчет РПЗ(ПЗ)_ПЗИП'!$AG:$AG,"&gt;0")</f>
        <v>0</v>
      </c>
      <c r="BD86" s="211">
        <f>ПП!AC74</f>
        <v>0</v>
      </c>
      <c r="BE86" s="220">
        <f t="shared" si="137"/>
        <v>0</v>
      </c>
      <c r="BF86" s="503">
        <f>ПП!AD74</f>
        <v>0</v>
      </c>
      <c r="BG86" s="402">
        <f t="shared" si="138"/>
        <v>0</v>
      </c>
      <c r="BH86" s="333">
        <f>ПП!AE74</f>
        <v>0</v>
      </c>
      <c r="BI86" s="217">
        <f>COUNTIFS(РПЗ!$R:$R,Справочно!$E17,'Отчет РПЗ(ПЗ)_ПЗИП'!$AO:$AO,10,'Отчет РПЗ(ПЗ)_ПЗИП'!$AG:$AG,"&gt;0")</f>
        <v>0</v>
      </c>
      <c r="BJ86" s="505">
        <f>ПП!AF74</f>
        <v>0</v>
      </c>
      <c r="BK86" s="447">
        <f>SUMIFS('Отчет РПЗ(ПЗ)_ПЗИП'!$AG:$AG,РПЗ!$R:$R,Справочно!$E17,'Отчет РПЗ(ПЗ)_ПЗИП'!$AO:$AO,10,'Отчет РПЗ(ПЗ)_ПЗИП'!$AG:$AG,"&gt;0")</f>
        <v>0</v>
      </c>
      <c r="BL86" s="206">
        <f>ПП!AG74</f>
        <v>0</v>
      </c>
      <c r="BM86" s="217">
        <f>COUNTIFS(РПЗ!$R:$R,Справочно!$E17,'Отчет РПЗ(ПЗ)_ПЗИП'!$AO:$AO,11,'Отчет РПЗ(ПЗ)_ПЗИП'!$AG:$AG,"&gt;0")</f>
        <v>0</v>
      </c>
      <c r="BN86" s="505">
        <f>ПП!AH74</f>
        <v>0</v>
      </c>
      <c r="BO86" s="447">
        <f>SUMIFS('Отчет РПЗ(ПЗ)_ПЗИП'!$AG:$AG,РПЗ!$R:$R,Справочно!$E17,'Отчет РПЗ(ПЗ)_ПЗИП'!$AO:$AO,11,'Отчет РПЗ(ПЗ)_ПЗИП'!$AG:$AG,"&gt;0")</f>
        <v>0</v>
      </c>
      <c r="BP86" s="206">
        <f>ПП!AI74</f>
        <v>0</v>
      </c>
      <c r="BQ86" s="217">
        <f>COUNTIFS(РПЗ!$R:$R,Справочно!$E17,'Отчет РПЗ(ПЗ)_ПЗИП'!$AO:$AO,12,'Отчет РПЗ(ПЗ)_ПЗИП'!$AG:$AG,"&gt;0")</f>
        <v>0</v>
      </c>
      <c r="BR86" s="505">
        <f>ПП!AJ74</f>
        <v>0</v>
      </c>
      <c r="BS86" s="448">
        <f>SUMIFS('Отчет РПЗ(ПЗ)_ПЗИП'!$AG:$AG,РПЗ!$R:$R,Справочно!$E17,'Отчет РПЗ(ПЗ)_ПЗИП'!$AO:$AO,12,'Отчет РПЗ(ПЗ)_ПЗИП'!$AG:$AG,"&gt;0")</f>
        <v>0</v>
      </c>
      <c r="BT86" s="211">
        <f>ПП!AK74</f>
        <v>0</v>
      </c>
      <c r="BU86" s="219">
        <f t="shared" si="139"/>
        <v>0</v>
      </c>
      <c r="BV86" s="503">
        <f>ПП!AL74</f>
        <v>0</v>
      </c>
      <c r="BW86" s="405">
        <f t="shared" si="140"/>
        <v>0</v>
      </c>
    </row>
    <row r="87" spans="2:75" ht="13.5" thickBot="1" x14ac:dyDescent="0.25">
      <c r="B87" s="73" t="s">
        <v>263</v>
      </c>
      <c r="C87" s="379">
        <f>ПП!B75</f>
        <v>199</v>
      </c>
      <c r="D87" s="527">
        <f>ПП!C75</f>
        <v>1.0698924731182795</v>
      </c>
      <c r="E87" s="97">
        <f>SUM(E85:E86)</f>
        <v>0</v>
      </c>
      <c r="F87" s="474" t="e">
        <f>SUM(F85:F86)</f>
        <v>#DIV/0!</v>
      </c>
      <c r="G87" s="528">
        <f>ПП!D75</f>
        <v>428601448.10999995</v>
      </c>
      <c r="H87" s="527">
        <f>ПП!E75</f>
        <v>0.99196111503552342</v>
      </c>
      <c r="I87" s="498">
        <f>SUM(I85:I86)</f>
        <v>0</v>
      </c>
      <c r="J87" s="474" t="e">
        <f>SUM(J85:J86)</f>
        <v>#DIV/0!</v>
      </c>
      <c r="L87" s="193">
        <f>ПП!G75</f>
        <v>0</v>
      </c>
      <c r="M87" s="174">
        <f>SUM(M85:M86)</f>
        <v>0</v>
      </c>
      <c r="N87" s="506">
        <f>ПП!H75</f>
        <v>0</v>
      </c>
      <c r="O87" s="411">
        <f>SUM(O85:O86)</f>
        <v>0</v>
      </c>
      <c r="P87" s="196">
        <f>ПП!I75</f>
        <v>0</v>
      </c>
      <c r="Q87" s="174">
        <f>SUM(Q85:Q86)</f>
        <v>0</v>
      </c>
      <c r="R87" s="506">
        <f>ПП!J75</f>
        <v>0</v>
      </c>
      <c r="S87" s="411">
        <f>SUM(S85:S86)</f>
        <v>0</v>
      </c>
      <c r="T87" s="196">
        <f>ПП!K75</f>
        <v>0</v>
      </c>
      <c r="U87" s="174">
        <f>SUM(U85:U86)</f>
        <v>0</v>
      </c>
      <c r="V87" s="506">
        <f>ПП!L75</f>
        <v>0</v>
      </c>
      <c r="W87" s="412">
        <f>SUM(W85:W86)</f>
        <v>0</v>
      </c>
      <c r="X87" s="211">
        <f>ПП!M75</f>
        <v>0</v>
      </c>
      <c r="Y87" s="215">
        <f t="shared" si="133"/>
        <v>0</v>
      </c>
      <c r="Z87" s="503">
        <f>ПП!N75</f>
        <v>0</v>
      </c>
      <c r="AA87" s="413">
        <f t="shared" si="134"/>
        <v>0</v>
      </c>
      <c r="AB87" s="334">
        <f>ПП!O75</f>
        <v>0</v>
      </c>
      <c r="AC87" s="174">
        <f>SUM(AC85:AC86)</f>
        <v>0</v>
      </c>
      <c r="AD87" s="506">
        <f>ПП!P75</f>
        <v>0</v>
      </c>
      <c r="AE87" s="411">
        <f>SUM(AE85:AE86)</f>
        <v>0</v>
      </c>
      <c r="AF87" s="196">
        <f>ПП!Q75</f>
        <v>0</v>
      </c>
      <c r="AG87" s="174">
        <f>SUM(AG85:AG86)</f>
        <v>0</v>
      </c>
      <c r="AH87" s="506">
        <f>ПП!R75</f>
        <v>0</v>
      </c>
      <c r="AI87" s="411">
        <f>SUM(AI85:AI86)</f>
        <v>0</v>
      </c>
      <c r="AJ87" s="196">
        <f>ПП!S75</f>
        <v>0</v>
      </c>
      <c r="AK87" s="174">
        <f>SUM(AK85:AK86)</f>
        <v>0</v>
      </c>
      <c r="AL87" s="506">
        <f>ПП!T75</f>
        <v>0</v>
      </c>
      <c r="AM87" s="411">
        <f>SUM(AM85:AM86)</f>
        <v>0</v>
      </c>
      <c r="AN87" s="211">
        <f>ПП!U75</f>
        <v>0</v>
      </c>
      <c r="AO87" s="215">
        <f t="shared" si="135"/>
        <v>0</v>
      </c>
      <c r="AP87" s="503">
        <f>ПП!V75</f>
        <v>0</v>
      </c>
      <c r="AQ87" s="413">
        <f t="shared" si="136"/>
        <v>0</v>
      </c>
      <c r="AR87" s="334">
        <f>ПП!W75</f>
        <v>0</v>
      </c>
      <c r="AS87" s="174">
        <f>SUM(AS85:AS86)</f>
        <v>0</v>
      </c>
      <c r="AT87" s="506">
        <f>ПП!X75</f>
        <v>0</v>
      </c>
      <c r="AU87" s="411">
        <f>SUM(AU85:AU86)</f>
        <v>0</v>
      </c>
      <c r="AV87" s="196">
        <f>ПП!Y75</f>
        <v>0</v>
      </c>
      <c r="AW87" s="174">
        <f>SUM(AW85:AW86)</f>
        <v>0</v>
      </c>
      <c r="AX87" s="506">
        <f>ПП!Z75</f>
        <v>0</v>
      </c>
      <c r="AY87" s="411">
        <f>SUM(AY85:AY86)</f>
        <v>0</v>
      </c>
      <c r="AZ87" s="196">
        <f>ПП!AA75</f>
        <v>0</v>
      </c>
      <c r="BA87" s="174">
        <f>SUM(BA85:BA86)</f>
        <v>0</v>
      </c>
      <c r="BB87" s="506">
        <f>ПП!AB75</f>
        <v>0</v>
      </c>
      <c r="BC87" s="411">
        <f>SUM(BC85:BC86)</f>
        <v>0</v>
      </c>
      <c r="BD87" s="211">
        <f>ПП!AC75</f>
        <v>0</v>
      </c>
      <c r="BE87" s="215">
        <f t="shared" si="137"/>
        <v>0</v>
      </c>
      <c r="BF87" s="503">
        <f>ПП!AD75</f>
        <v>0</v>
      </c>
      <c r="BG87" s="413">
        <f t="shared" si="138"/>
        <v>0</v>
      </c>
      <c r="BH87" s="334">
        <f>ПП!AE75</f>
        <v>0</v>
      </c>
      <c r="BI87" s="174">
        <f>SUM(BI85:BI86)</f>
        <v>0</v>
      </c>
      <c r="BJ87" s="506">
        <f>ПП!AF75</f>
        <v>0</v>
      </c>
      <c r="BK87" s="411">
        <f>SUM(BK85:BK86)</f>
        <v>0</v>
      </c>
      <c r="BL87" s="196">
        <f>ПП!AG75</f>
        <v>0</v>
      </c>
      <c r="BM87" s="174">
        <f>SUM(BM85:BM86)</f>
        <v>0</v>
      </c>
      <c r="BN87" s="506">
        <f>ПП!AH75</f>
        <v>0</v>
      </c>
      <c r="BO87" s="411">
        <f>SUM(BO85:BO86)</f>
        <v>0</v>
      </c>
      <c r="BP87" s="196">
        <f>ПП!AI75</f>
        <v>0</v>
      </c>
      <c r="BQ87" s="174">
        <f>SUM(BQ85:BQ86)</f>
        <v>0</v>
      </c>
      <c r="BR87" s="506">
        <f>ПП!AJ75</f>
        <v>0</v>
      </c>
      <c r="BS87" s="411">
        <f>SUM(BS85:BS86)</f>
        <v>0</v>
      </c>
      <c r="BT87" s="211">
        <f>ПП!AK75</f>
        <v>0</v>
      </c>
      <c r="BU87" s="215">
        <f t="shared" si="139"/>
        <v>0</v>
      </c>
      <c r="BV87" s="503">
        <f>ПП!AL75</f>
        <v>0</v>
      </c>
      <c r="BW87" s="413">
        <f t="shared" si="140"/>
        <v>0</v>
      </c>
    </row>
    <row r="88" spans="2:75" ht="13.5" thickBot="1" x14ac:dyDescent="0.25"/>
    <row r="89" spans="2:75" ht="13.5" customHeight="1" thickBot="1" x14ac:dyDescent="0.25">
      <c r="B89" s="745" t="s">
        <v>1304</v>
      </c>
      <c r="C89" s="858"/>
      <c r="D89" s="746"/>
    </row>
    <row r="90" spans="2:75" ht="15.75" customHeight="1" thickBot="1" x14ac:dyDescent="0.25">
      <c r="B90" s="856" t="s">
        <v>261</v>
      </c>
      <c r="C90" s="363" t="s">
        <v>40</v>
      </c>
      <c r="D90" s="363" t="s">
        <v>1305</v>
      </c>
    </row>
    <row r="91" spans="2:75" ht="13.5" thickBot="1" x14ac:dyDescent="0.25">
      <c r="B91" s="857"/>
      <c r="C91" s="364">
        <f>ПП!B79</f>
        <v>0</v>
      </c>
      <c r="D91" s="365">
        <f>COUNTIF('Отчет РПЗ(ПЗ)_ПЗИП'!G:G,Справочно!$C32)</f>
        <v>0</v>
      </c>
    </row>
    <row r="92" spans="2:75" ht="13.5" thickBot="1" x14ac:dyDescent="0.25"/>
    <row r="93" spans="2:75" ht="13.5" thickBot="1" x14ac:dyDescent="0.25">
      <c r="B93" s="60" t="s">
        <v>156</v>
      </c>
      <c r="C93" s="101" t="s">
        <v>117</v>
      </c>
    </row>
    <row r="94" spans="2:75" x14ac:dyDescent="0.2">
      <c r="B94" s="70" t="s">
        <v>47</v>
      </c>
      <c r="C94" s="102">
        <f>COUNTIF('Отчет РПЗ(ПЗ)_ПЗИП'!$E:$E,Справочно!$E3)</f>
        <v>0</v>
      </c>
    </row>
    <row r="95" spans="2:75" ht="13.5" customHeight="1" x14ac:dyDescent="0.2">
      <c r="B95" s="70" t="s">
        <v>46</v>
      </c>
      <c r="C95" s="103">
        <f>COUNTIF('Отчет РПЗ(ПЗ)_ПЗИП'!$E:$E,Справочно!$E4)</f>
        <v>0</v>
      </c>
    </row>
    <row r="96" spans="2:75" x14ac:dyDescent="0.2">
      <c r="B96" s="70" t="s">
        <v>1249</v>
      </c>
      <c r="C96" s="103">
        <f>COUNTIF('Отчет РПЗ(ПЗ)_ПЗИП'!$E:$E,Справочно!$E5)</f>
        <v>0</v>
      </c>
    </row>
    <row r="97" spans="2:3" x14ac:dyDescent="0.2">
      <c r="B97" s="70" t="s">
        <v>52</v>
      </c>
      <c r="C97" s="103">
        <f>COUNTIF('Отчет РПЗ(ПЗ)_ПЗИП'!$E:$E,Справочно!$E6)</f>
        <v>0</v>
      </c>
    </row>
    <row r="98" spans="2:3" x14ac:dyDescent="0.2">
      <c r="B98" s="70" t="s">
        <v>64</v>
      </c>
      <c r="C98" s="103">
        <f>COUNTIF('Отчет РПЗ(ПЗ)_ПЗИП'!$E:$E,Справочно!$E7)</f>
        <v>0</v>
      </c>
    </row>
    <row r="99" spans="2:3" x14ac:dyDescent="0.2">
      <c r="B99" s="70" t="s">
        <v>61</v>
      </c>
      <c r="C99" s="103">
        <f>COUNTIF('Отчет РПЗ(ПЗ)_ПЗИП'!$E:$E,Справочно!$E8)</f>
        <v>0</v>
      </c>
    </row>
    <row r="100" spans="2:3" x14ac:dyDescent="0.2">
      <c r="B100" s="70" t="s">
        <v>62</v>
      </c>
      <c r="C100" s="103">
        <f>COUNTIF('Отчет РПЗ(ПЗ)_ПЗИП'!$E:$E,Справочно!$E9)</f>
        <v>0</v>
      </c>
    </row>
    <row r="101" spans="2:3" ht="13.5" thickBot="1" x14ac:dyDescent="0.25">
      <c r="B101" s="71" t="s">
        <v>63</v>
      </c>
      <c r="C101" s="104">
        <f>COUNTIF('Отчет РПЗ(ПЗ)_ПЗИП'!$E:$E,Справочно!$E10)</f>
        <v>0</v>
      </c>
    </row>
    <row r="102" spans="2:3" ht="15.75" customHeight="1" thickBot="1" x14ac:dyDescent="0.25">
      <c r="B102" s="488" t="s">
        <v>1303</v>
      </c>
      <c r="C102" s="489">
        <f>SUM(C94:C101)</f>
        <v>0</v>
      </c>
    </row>
  </sheetData>
  <mergeCells count="191">
    <mergeCell ref="B90:B91"/>
    <mergeCell ref="B89:D89"/>
    <mergeCell ref="BT83:BU83"/>
    <mergeCell ref="BV83:BW83"/>
    <mergeCell ref="BJ83:BK83"/>
    <mergeCell ref="L51:AA51"/>
    <mergeCell ref="L53:AA53"/>
    <mergeCell ref="R54:S54"/>
    <mergeCell ref="V54:W54"/>
    <mergeCell ref="Z54:AA54"/>
    <mergeCell ref="BL83:BM83"/>
    <mergeCell ref="BN83:BO83"/>
    <mergeCell ref="BP83:BQ83"/>
    <mergeCell ref="BR83:BS83"/>
    <mergeCell ref="AZ83:BA83"/>
    <mergeCell ref="BB83:BC83"/>
    <mergeCell ref="BD83:BE83"/>
    <mergeCell ref="AB83:AC83"/>
    <mergeCell ref="AD83:AE83"/>
    <mergeCell ref="AF83:AG83"/>
    <mergeCell ref="AH83:AI83"/>
    <mergeCell ref="AJ83:AK83"/>
    <mergeCell ref="BF83:BG83"/>
    <mergeCell ref="BH83:BI83"/>
    <mergeCell ref="L83:M83"/>
    <mergeCell ref="Z26:AA26"/>
    <mergeCell ref="BH49:BW49"/>
    <mergeCell ref="BV26:BW26"/>
    <mergeCell ref="BH51:BW51"/>
    <mergeCell ref="B53:J53"/>
    <mergeCell ref="B82:J82"/>
    <mergeCell ref="BH53:BW53"/>
    <mergeCell ref="BJ54:BK54"/>
    <mergeCell ref="BN54:BO54"/>
    <mergeCell ref="BR54:BS54"/>
    <mergeCell ref="BV54:BW54"/>
    <mergeCell ref="AD54:AE54"/>
    <mergeCell ref="AH54:AI54"/>
    <mergeCell ref="AL54:AM54"/>
    <mergeCell ref="AP54:AQ54"/>
    <mergeCell ref="L49:AA49"/>
    <mergeCell ref="BL26:BM26"/>
    <mergeCell ref="AB53:AQ53"/>
    <mergeCell ref="L26:M26"/>
    <mergeCell ref="N26:O26"/>
    <mergeCell ref="P26:Q26"/>
    <mergeCell ref="AX83:AY83"/>
    <mergeCell ref="BT25:BW25"/>
    <mergeCell ref="AR53:BG53"/>
    <mergeCell ref="AT54:AU54"/>
    <mergeCell ref="AX54:AY54"/>
    <mergeCell ref="BB54:BC54"/>
    <mergeCell ref="BF54:BG54"/>
    <mergeCell ref="BB26:BC26"/>
    <mergeCell ref="BD26:BE26"/>
    <mergeCell ref="BF26:BG26"/>
    <mergeCell ref="AR49:BG49"/>
    <mergeCell ref="AR51:BG51"/>
    <mergeCell ref="AR26:AS26"/>
    <mergeCell ref="AT26:AU26"/>
    <mergeCell ref="AV26:AW26"/>
    <mergeCell ref="AX26:AY26"/>
    <mergeCell ref="AZ26:BA26"/>
    <mergeCell ref="BD25:BG25"/>
    <mergeCell ref="BR26:BS26"/>
    <mergeCell ref="BT26:BU26"/>
    <mergeCell ref="BH26:BI26"/>
    <mergeCell ref="BN26:BO26"/>
    <mergeCell ref="BJ26:BK26"/>
    <mergeCell ref="AB24:AQ24"/>
    <mergeCell ref="AB25:AE25"/>
    <mergeCell ref="AF25:AI25"/>
    <mergeCell ref="AJ25:AM25"/>
    <mergeCell ref="AN25:AQ25"/>
    <mergeCell ref="AB49:AQ49"/>
    <mergeCell ref="AB51:AQ51"/>
    <mergeCell ref="BH24:BW24"/>
    <mergeCell ref="BH25:BK25"/>
    <mergeCell ref="BP26:BQ26"/>
    <mergeCell ref="AR24:BG24"/>
    <mergeCell ref="AR25:AU25"/>
    <mergeCell ref="AV25:AY25"/>
    <mergeCell ref="AZ25:BC25"/>
    <mergeCell ref="AB26:AC26"/>
    <mergeCell ref="AD26:AE26"/>
    <mergeCell ref="AF26:AG26"/>
    <mergeCell ref="AH26:AI26"/>
    <mergeCell ref="AJ26:AK26"/>
    <mergeCell ref="AL26:AM26"/>
    <mergeCell ref="AN26:AO26"/>
    <mergeCell ref="AP26:AQ26"/>
    <mergeCell ref="BL25:BO25"/>
    <mergeCell ref="BP25:BS25"/>
    <mergeCell ref="AB16:AC16"/>
    <mergeCell ref="AD16:AE16"/>
    <mergeCell ref="AB17:AB19"/>
    <mergeCell ref="AC17:AC19"/>
    <mergeCell ref="AD17:AD19"/>
    <mergeCell ref="AE17:AE19"/>
    <mergeCell ref="K14:AA14"/>
    <mergeCell ref="X15:AA15"/>
    <mergeCell ref="L16:M16"/>
    <mergeCell ref="N16:O16"/>
    <mergeCell ref="P16:Q16"/>
    <mergeCell ref="R16:S16"/>
    <mergeCell ref="T16:U16"/>
    <mergeCell ref="V16:W16"/>
    <mergeCell ref="X16:Y16"/>
    <mergeCell ref="Z16:AA16"/>
    <mergeCell ref="AC15:AD15"/>
    <mergeCell ref="Q17:Q19"/>
    <mergeCell ref="R17:R19"/>
    <mergeCell ref="S17:S19"/>
    <mergeCell ref="T17:T19"/>
    <mergeCell ref="P15:S15"/>
    <mergeCell ref="T15:W15"/>
    <mergeCell ref="V17:V19"/>
    <mergeCell ref="B2:J2"/>
    <mergeCell ref="B49:J49"/>
    <mergeCell ref="L15:O15"/>
    <mergeCell ref="L17:L19"/>
    <mergeCell ref="K15:K19"/>
    <mergeCell ref="B15:B16"/>
    <mergeCell ref="C15:C16"/>
    <mergeCell ref="C24:C26"/>
    <mergeCell ref="D24:D26"/>
    <mergeCell ref="E24:E26"/>
    <mergeCell ref="F24:F26"/>
    <mergeCell ref="L25:O25"/>
    <mergeCell ref="L24:AA24"/>
    <mergeCell ref="P25:S25"/>
    <mergeCell ref="X25:AA25"/>
    <mergeCell ref="T25:W25"/>
    <mergeCell ref="R26:S26"/>
    <mergeCell ref="V26:W26"/>
    <mergeCell ref="X26:Y26"/>
    <mergeCell ref="W17:W19"/>
    <mergeCell ref="T26:U26"/>
    <mergeCell ref="X17:X19"/>
    <mergeCell ref="Y17:Y19"/>
    <mergeCell ref="Z17:Z19"/>
    <mergeCell ref="AA17:AA19"/>
    <mergeCell ref="M17:M19"/>
    <mergeCell ref="N17:N19"/>
    <mergeCell ref="O17:O19"/>
    <mergeCell ref="P17:P19"/>
    <mergeCell ref="U17:U19"/>
    <mergeCell ref="B51:J51"/>
    <mergeCell ref="C19:E19"/>
    <mergeCell ref="G27:H27"/>
    <mergeCell ref="I27:J27"/>
    <mergeCell ref="C27:D27"/>
    <mergeCell ref="E27:F27"/>
    <mergeCell ref="G24:G26"/>
    <mergeCell ref="H24:H26"/>
    <mergeCell ref="I24:I26"/>
    <mergeCell ref="J24:J26"/>
    <mergeCell ref="B24:B27"/>
    <mergeCell ref="D15:D16"/>
    <mergeCell ref="C5:D5"/>
    <mergeCell ref="C6:D6"/>
    <mergeCell ref="C7:D7"/>
    <mergeCell ref="C8:D8"/>
    <mergeCell ref="C9:D9"/>
    <mergeCell ref="C10:D10"/>
    <mergeCell ref="C11:D11"/>
    <mergeCell ref="C12:D12"/>
    <mergeCell ref="H15:I15"/>
    <mergeCell ref="E15:E16"/>
    <mergeCell ref="C55:D55"/>
    <mergeCell ref="I54:J54"/>
    <mergeCell ref="F55:G55"/>
    <mergeCell ref="B83:B84"/>
    <mergeCell ref="AR83:AS83"/>
    <mergeCell ref="AT83:AU83"/>
    <mergeCell ref="AV83:AW83"/>
    <mergeCell ref="N83:O83"/>
    <mergeCell ref="P83:Q83"/>
    <mergeCell ref="R83:S83"/>
    <mergeCell ref="T83:U83"/>
    <mergeCell ref="V83:W83"/>
    <mergeCell ref="X83:Y83"/>
    <mergeCell ref="Z83:AA83"/>
    <mergeCell ref="AP83:AQ83"/>
    <mergeCell ref="N54:O54"/>
    <mergeCell ref="AL83:AM83"/>
    <mergeCell ref="AN83:AO83"/>
    <mergeCell ref="C84:D84"/>
    <mergeCell ref="E84:F84"/>
    <mergeCell ref="G84:H84"/>
    <mergeCell ref="I84:J84"/>
  </mergeCells>
  <conditionalFormatting sqref="E17:F17">
    <cfRule type="cellIs" dxfId="5" priority="254" operator="equal">
      <formula>#REF!</formula>
    </cfRule>
    <cfRule type="cellIs" dxfId="4" priority="255" operator="lessThan">
      <formula>#REF!</formula>
    </cfRule>
  </conditionalFormatting>
  <conditionalFormatting sqref="G17:H17">
    <cfRule type="iconSet" priority="250">
      <iconSet iconSet="3Symbols">
        <cfvo type="percent" val="0"/>
        <cfvo type="percent" val="33"/>
        <cfvo type="num" val="&quot;сумм($D$4:$D$9)&quot;"/>
      </iconSet>
    </cfRule>
  </conditionalFormatting>
  <conditionalFormatting sqref="G17">
    <cfRule type="cellIs" dxfId="3" priority="239" operator="lessThan">
      <formula>$I$52</formula>
    </cfRule>
    <cfRule type="cellIs" dxfId="2" priority="240" operator="greaterThan">
      <formula>$I$52</formula>
    </cfRule>
    <cfRule type="cellIs" dxfId="1" priority="244" operator="equal">
      <formula>$I$52</formula>
    </cfRule>
  </conditionalFormatting>
  <conditionalFormatting sqref="I56:J80">
    <cfRule type="containsErrors" dxfId="0" priority="325">
      <formula>ISERROR(I56)</formula>
    </cfRule>
  </conditionalFormatting>
  <pageMargins left="0.51181102362204722" right="0.51181102362204722" top="0.55118110236220474" bottom="0.55118110236220474" header="0.31496062992125984" footer="0.31496062992125984"/>
  <pageSetup paperSize="8" scale="44" fitToWidth="2" fitToHeight="5" orientation="landscape" r:id="rId1"/>
  <extLst>
    <ext xmlns:x14="http://schemas.microsoft.com/office/spreadsheetml/2009/9/main" uri="{78C0D931-6437-407d-A8EE-F0AAD7539E65}">
      <x14:conditionalFormattings>
        <x14:conditionalFormatting xmlns:xm="http://schemas.microsoft.com/office/excel/2006/main">
          <x14:cfRule type="iconSet" priority="323" id="{A40F470C-591E-4C05-A0E4-CE794992D6D5}">
            <x14:iconSet iconSet="5Boxes">
              <x14:cfvo type="percent">
                <xm:f>0</xm:f>
              </x14:cfvo>
              <x14:cfvo type="num">
                <xm:f>20</xm:f>
              </x14:cfvo>
              <x14:cfvo type="num">
                <xm:f>40</xm:f>
              </x14:cfvo>
              <x14:cfvo type="num">
                <xm:f>60</xm:f>
              </x14:cfvo>
              <x14:cfvo type="num">
                <xm:f>80</xm:f>
              </x14:cfvo>
            </x14:iconSet>
          </x14:cfRule>
          <xm:sqref>F19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2"/>
  <sheetViews>
    <sheetView topLeftCell="A10" zoomScaleNormal="100" workbookViewId="0">
      <selection activeCell="H29" sqref="H29"/>
    </sheetView>
  </sheetViews>
  <sheetFormatPr defaultRowHeight="12.75" x14ac:dyDescent="0.2"/>
  <cols>
    <col min="1" max="1" width="3.85546875" style="59" customWidth="1"/>
    <col min="2" max="2" width="108.7109375" style="59" customWidth="1"/>
    <col min="3" max="3" width="7.28515625" style="59" customWidth="1"/>
    <col min="4" max="4" width="25" style="59" customWidth="1"/>
    <col min="5" max="6" width="9.140625" style="59"/>
    <col min="7" max="7" width="15.140625" style="59" customWidth="1"/>
    <col min="8" max="8" width="9.140625" style="59" customWidth="1"/>
    <col min="9" max="16384" width="9.140625" style="59"/>
  </cols>
  <sheetData>
    <row r="2" spans="1:10" x14ac:dyDescent="0.2">
      <c r="B2" s="700" t="s">
        <v>276</v>
      </c>
      <c r="C2" s="700"/>
      <c r="D2" s="700"/>
    </row>
    <row r="3" spans="1:10" x14ac:dyDescent="0.2">
      <c r="B3" s="700" t="s">
        <v>1307</v>
      </c>
      <c r="C3" s="700"/>
      <c r="D3" s="700"/>
      <c r="E3" s="14"/>
      <c r="F3" s="14"/>
      <c r="G3" s="14"/>
      <c r="H3" s="14"/>
      <c r="I3" s="14"/>
      <c r="J3" s="14"/>
    </row>
    <row r="4" spans="1:10" ht="13.5" thickBot="1" x14ac:dyDescent="0.25">
      <c r="B4" s="111"/>
      <c r="C4" s="111"/>
      <c r="D4" s="111"/>
      <c r="E4" s="14"/>
      <c r="F4" s="14"/>
      <c r="G4" s="14"/>
      <c r="H4" s="14"/>
      <c r="I4" s="14"/>
      <c r="J4" s="14"/>
    </row>
    <row r="5" spans="1:10" ht="15" customHeight="1" x14ac:dyDescent="0.2">
      <c r="B5" s="159" t="s">
        <v>1</v>
      </c>
      <c r="C5" s="859" t="str">
        <f>РПЗ!B4</f>
        <v>Акционерное общество «Научно-производственное объединение «Импульс»</v>
      </c>
      <c r="D5" s="860"/>
    </row>
    <row r="6" spans="1:10" ht="12.75" customHeight="1" x14ac:dyDescent="0.2">
      <c r="B6" s="159" t="s">
        <v>2</v>
      </c>
      <c r="C6" s="861" t="str">
        <f>РПЗ!B5</f>
        <v>Российская Федерация, 195220, Санкт-Петербург, ул. Обручевых, д.1</v>
      </c>
      <c r="D6" s="862"/>
    </row>
    <row r="7" spans="1:10" ht="12.75" customHeight="1" x14ac:dyDescent="0.2">
      <c r="B7" s="159" t="s">
        <v>3</v>
      </c>
      <c r="C7" s="861" t="str">
        <f>РПЗ!B6</f>
        <v>(812)2904855</v>
      </c>
      <c r="D7" s="862"/>
    </row>
    <row r="8" spans="1:10" ht="15" customHeight="1" x14ac:dyDescent="0.2">
      <c r="B8" s="159" t="s">
        <v>4</v>
      </c>
      <c r="C8" s="861" t="str">
        <f>РПЗ!B7</f>
        <v>kanz@npoimpuls.ru</v>
      </c>
      <c r="D8" s="862"/>
    </row>
    <row r="9" spans="1:10" ht="15" customHeight="1" x14ac:dyDescent="0.2">
      <c r="B9" s="159" t="s">
        <v>5</v>
      </c>
      <c r="C9" s="861">
        <f>РПЗ!B8</f>
        <v>7804478424</v>
      </c>
      <c r="D9" s="862"/>
    </row>
    <row r="10" spans="1:10" ht="15" customHeight="1" x14ac:dyDescent="0.2">
      <c r="B10" s="159" t="s">
        <v>6</v>
      </c>
      <c r="C10" s="861">
        <f>РПЗ!B9</f>
        <v>780401001</v>
      </c>
      <c r="D10" s="862"/>
    </row>
    <row r="11" spans="1:10" ht="15.75" customHeight="1" thickBot="1" x14ac:dyDescent="0.25">
      <c r="B11" s="159" t="s">
        <v>7</v>
      </c>
      <c r="C11" s="863">
        <f>РПЗ!B10</f>
        <v>40273562000</v>
      </c>
      <c r="D11" s="864"/>
    </row>
    <row r="12" spans="1:10" ht="85.5" customHeight="1" thickBot="1" x14ac:dyDescent="0.25">
      <c r="B12" s="248" t="s">
        <v>351</v>
      </c>
      <c r="C12" s="706"/>
      <c r="D12" s="707"/>
    </row>
    <row r="13" spans="1:10" ht="13.5" thickBot="1" x14ac:dyDescent="0.25"/>
    <row r="14" spans="1:10" ht="26.25" thickBot="1" x14ac:dyDescent="0.25">
      <c r="A14" s="124" t="s">
        <v>278</v>
      </c>
      <c r="B14" s="113" t="s">
        <v>279</v>
      </c>
      <c r="C14" s="130" t="s">
        <v>280</v>
      </c>
      <c r="D14" s="131" t="s">
        <v>281</v>
      </c>
    </row>
    <row r="15" spans="1:10" ht="26.25" customHeight="1" x14ac:dyDescent="0.2">
      <c r="A15" s="129">
        <v>1</v>
      </c>
      <c r="B15" s="132" t="s">
        <v>1315</v>
      </c>
      <c r="C15" s="133">
        <f>SUM(C16:C18)</f>
        <v>0</v>
      </c>
      <c r="D15" s="134">
        <f>SUM(D16:D18)</f>
        <v>0</v>
      </c>
    </row>
    <row r="16" spans="1:10" ht="26.25" customHeight="1" x14ac:dyDescent="0.2">
      <c r="A16" s="127" t="s">
        <v>282</v>
      </c>
      <c r="B16" s="125" t="s">
        <v>294</v>
      </c>
      <c r="C16" s="142"/>
      <c r="D16" s="143"/>
    </row>
    <row r="17" spans="1:4" ht="26.25" customHeight="1" x14ac:dyDescent="0.2">
      <c r="A17" s="127" t="s">
        <v>283</v>
      </c>
      <c r="B17" s="125" t="s">
        <v>296</v>
      </c>
      <c r="C17" s="142"/>
      <c r="D17" s="143"/>
    </row>
    <row r="18" spans="1:4" ht="26.25" customHeight="1" thickBot="1" x14ac:dyDescent="0.25">
      <c r="A18" s="128" t="s">
        <v>284</v>
      </c>
      <c r="B18" s="126" t="s">
        <v>730</v>
      </c>
      <c r="C18" s="144"/>
      <c r="D18" s="145"/>
    </row>
    <row r="19" spans="1:4" ht="26.25" customHeight="1" thickBot="1" x14ac:dyDescent="0.25">
      <c r="A19" s="138">
        <v>2</v>
      </c>
      <c r="B19" s="139" t="s">
        <v>1325</v>
      </c>
      <c r="C19" s="146"/>
      <c r="D19" s="147"/>
    </row>
    <row r="20" spans="1:4" ht="41.25" customHeight="1" x14ac:dyDescent="0.2">
      <c r="A20" s="129">
        <v>3</v>
      </c>
      <c r="B20" s="132" t="s">
        <v>1326</v>
      </c>
      <c r="C20" s="133">
        <f>SUM(C21:C24)</f>
        <v>0</v>
      </c>
      <c r="D20" s="134">
        <f>SUM(D21:D24)</f>
        <v>0</v>
      </c>
    </row>
    <row r="21" spans="1:4" ht="26.25" customHeight="1" x14ac:dyDescent="0.2">
      <c r="A21" s="127" t="s">
        <v>285</v>
      </c>
      <c r="B21" s="125" t="s">
        <v>297</v>
      </c>
      <c r="C21" s="142"/>
      <c r="D21" s="143"/>
    </row>
    <row r="22" spans="1:4" ht="26.25" customHeight="1" x14ac:dyDescent="0.2">
      <c r="A22" s="127" t="s">
        <v>286</v>
      </c>
      <c r="B22" s="125" t="s">
        <v>298</v>
      </c>
      <c r="C22" s="142"/>
      <c r="D22" s="143"/>
    </row>
    <row r="23" spans="1:4" ht="26.25" customHeight="1" x14ac:dyDescent="0.2">
      <c r="A23" s="135" t="s">
        <v>287</v>
      </c>
      <c r="B23" s="136" t="s">
        <v>299</v>
      </c>
      <c r="C23" s="148"/>
      <c r="D23" s="149"/>
    </row>
    <row r="24" spans="1:4" ht="26.25" customHeight="1" thickBot="1" x14ac:dyDescent="0.25">
      <c r="A24" s="128" t="s">
        <v>288</v>
      </c>
      <c r="B24" s="137" t="s">
        <v>300</v>
      </c>
      <c r="C24" s="150"/>
      <c r="D24" s="149"/>
    </row>
    <row r="25" spans="1:4" ht="26.25" customHeight="1" thickBot="1" x14ac:dyDescent="0.25">
      <c r="A25" s="140">
        <v>4</v>
      </c>
      <c r="B25" s="141" t="s">
        <v>1310</v>
      </c>
      <c r="C25" s="151"/>
      <c r="D25" s="152"/>
    </row>
    <row r="26" spans="1:4" ht="26.25" customHeight="1" x14ac:dyDescent="0.2">
      <c r="A26" s="129">
        <v>5</v>
      </c>
      <c r="B26" s="132" t="s">
        <v>1324</v>
      </c>
      <c r="C26" s="133">
        <f>SUM(C27:C29)</f>
        <v>0</v>
      </c>
      <c r="D26" s="134">
        <f>SUM(D27:D29)</f>
        <v>0</v>
      </c>
    </row>
    <row r="27" spans="1:4" ht="26.25" customHeight="1" x14ac:dyDescent="0.2">
      <c r="A27" s="127" t="s">
        <v>289</v>
      </c>
      <c r="B27" s="125" t="s">
        <v>731</v>
      </c>
      <c r="C27" s="142"/>
      <c r="D27" s="143"/>
    </row>
    <row r="28" spans="1:4" ht="26.25" customHeight="1" thickBot="1" x14ac:dyDescent="0.25">
      <c r="A28" s="128" t="s">
        <v>290</v>
      </c>
      <c r="B28" s="126" t="s">
        <v>732</v>
      </c>
      <c r="C28" s="142"/>
      <c r="D28" s="143"/>
    </row>
    <row r="29" spans="1:4" ht="26.25" customHeight="1" x14ac:dyDescent="0.2">
      <c r="A29" s="129">
        <v>6</v>
      </c>
      <c r="B29" s="132" t="s">
        <v>1311</v>
      </c>
      <c r="C29" s="133">
        <f>SUM(C30:C32)</f>
        <v>0</v>
      </c>
      <c r="D29" s="134">
        <f>SUM(D30:D32)</f>
        <v>0</v>
      </c>
    </row>
    <row r="30" spans="1:4" ht="26.25" customHeight="1" x14ac:dyDescent="0.2">
      <c r="A30" s="127" t="s">
        <v>291</v>
      </c>
      <c r="B30" s="125" t="s">
        <v>733</v>
      </c>
      <c r="C30" s="142"/>
      <c r="D30" s="143"/>
    </row>
    <row r="31" spans="1:4" ht="26.25" customHeight="1" x14ac:dyDescent="0.2">
      <c r="A31" s="127" t="s">
        <v>292</v>
      </c>
      <c r="B31" s="136" t="s">
        <v>735</v>
      </c>
      <c r="C31" s="142"/>
      <c r="D31" s="143"/>
    </row>
    <row r="32" spans="1:4" ht="26.25" customHeight="1" thickBot="1" x14ac:dyDescent="0.25">
      <c r="A32" s="127" t="s">
        <v>734</v>
      </c>
      <c r="B32" s="136" t="s">
        <v>736</v>
      </c>
      <c r="C32" s="144"/>
      <c r="D32" s="145"/>
    </row>
    <row r="33" spans="1:4" ht="26.25" customHeight="1" x14ac:dyDescent="0.2">
      <c r="A33" s="263">
        <v>7</v>
      </c>
      <c r="B33" s="262" t="s">
        <v>1316</v>
      </c>
      <c r="C33" s="133">
        <f>SUM(C34:C36)</f>
        <v>0</v>
      </c>
      <c r="D33" s="134">
        <f>SUM(D34:D36)</f>
        <v>0</v>
      </c>
    </row>
    <row r="34" spans="1:4" ht="26.25" customHeight="1" x14ac:dyDescent="0.2">
      <c r="A34" s="127" t="s">
        <v>293</v>
      </c>
      <c r="B34" s="125" t="s">
        <v>294</v>
      </c>
      <c r="C34" s="142"/>
      <c r="D34" s="143"/>
    </row>
    <row r="35" spans="1:4" ht="26.25" customHeight="1" thickBot="1" x14ac:dyDescent="0.25">
      <c r="A35" s="128" t="s">
        <v>295</v>
      </c>
      <c r="B35" s="126" t="s">
        <v>308</v>
      </c>
      <c r="C35" s="367"/>
      <c r="D35" s="368"/>
    </row>
    <row r="38" spans="1:4" ht="12.75" customHeight="1" x14ac:dyDescent="0.2"/>
    <row r="39" spans="1:4" ht="12.75" customHeight="1" x14ac:dyDescent="0.2"/>
    <row r="40" spans="1:4" ht="12.75" customHeight="1" x14ac:dyDescent="0.2"/>
    <row r="41" spans="1:4" ht="12.75" customHeight="1" x14ac:dyDescent="0.2"/>
    <row r="42" spans="1:4" ht="12.75" customHeight="1" x14ac:dyDescent="0.2"/>
  </sheetData>
  <mergeCells count="10">
    <mergeCell ref="B2:D2"/>
    <mergeCell ref="B3:D3"/>
    <mergeCell ref="C12:D12"/>
    <mergeCell ref="C5:D5"/>
    <mergeCell ref="C6:D6"/>
    <mergeCell ref="C8:D8"/>
    <mergeCell ref="C9:D9"/>
    <mergeCell ref="C10:D10"/>
    <mergeCell ref="C11:D11"/>
    <mergeCell ref="C7:D7"/>
  </mergeCells>
  <pageMargins left="0.39583333333333331" right="0.40625" top="0.5312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B2:O58"/>
  <sheetViews>
    <sheetView workbookViewId="0">
      <selection activeCell="E6" sqref="E6"/>
    </sheetView>
  </sheetViews>
  <sheetFormatPr defaultRowHeight="15" x14ac:dyDescent="0.25"/>
  <cols>
    <col min="1" max="1" width="9.140625" style="1"/>
    <col min="2" max="2" width="68" style="1" customWidth="1"/>
    <col min="3" max="3" width="10" style="1" customWidth="1"/>
    <col min="4" max="4" width="5.42578125" style="1" customWidth="1"/>
    <col min="5" max="5" width="32.7109375" style="1" bestFit="1" customWidth="1"/>
    <col min="6" max="6" width="5.85546875" style="1" customWidth="1"/>
    <col min="7" max="7" width="16.140625" style="1" customWidth="1"/>
    <col min="8" max="8" width="9.140625" style="1"/>
    <col min="9" max="9" width="9.7109375" style="1" customWidth="1"/>
    <col min="10" max="14" width="9.140625" style="1"/>
    <col min="15" max="15" width="11.140625" style="1" customWidth="1"/>
    <col min="16" max="16384" width="9.140625" style="1"/>
  </cols>
  <sheetData>
    <row r="2" spans="2:15" x14ac:dyDescent="0.25">
      <c r="B2" s="44" t="s">
        <v>41</v>
      </c>
      <c r="C2" s="44" t="s">
        <v>42</v>
      </c>
      <c r="D2" s="45"/>
      <c r="E2" s="44" t="s">
        <v>43</v>
      </c>
      <c r="F2" s="45"/>
      <c r="G2" s="44" t="s">
        <v>1320</v>
      </c>
      <c r="I2" s="44" t="s">
        <v>335</v>
      </c>
    </row>
    <row r="3" spans="2:15" x14ac:dyDescent="0.25">
      <c r="B3" s="46" t="s">
        <v>44</v>
      </c>
      <c r="C3" s="47" t="s">
        <v>45</v>
      </c>
      <c r="D3" s="48"/>
      <c r="E3" s="49" t="s">
        <v>47</v>
      </c>
      <c r="F3" s="48"/>
      <c r="G3" s="49" t="s">
        <v>66</v>
      </c>
      <c r="I3" s="49" t="s">
        <v>336</v>
      </c>
      <c r="O3" s="366"/>
    </row>
    <row r="4" spans="2:15" x14ac:dyDescent="0.25">
      <c r="B4" s="46" t="s">
        <v>48</v>
      </c>
      <c r="C4" s="47" t="s">
        <v>49</v>
      </c>
      <c r="D4" s="48"/>
      <c r="E4" s="319" t="s">
        <v>46</v>
      </c>
      <c r="F4" s="48"/>
      <c r="G4" s="49" t="s">
        <v>67</v>
      </c>
      <c r="I4" s="49" t="s">
        <v>337</v>
      </c>
    </row>
    <row r="5" spans="2:15" ht="15.75" customHeight="1" x14ac:dyDescent="0.25">
      <c r="B5" s="46" t="s">
        <v>50</v>
      </c>
      <c r="C5" s="47" t="s">
        <v>51</v>
      </c>
      <c r="D5" s="48"/>
      <c r="E5" s="319" t="s">
        <v>1249</v>
      </c>
      <c r="F5" s="48"/>
      <c r="G5" s="49" t="s">
        <v>68</v>
      </c>
      <c r="I5" s="49" t="s">
        <v>338</v>
      </c>
    </row>
    <row r="6" spans="2:15" ht="15" customHeight="1" x14ac:dyDescent="0.25">
      <c r="B6" s="46" t="s">
        <v>53</v>
      </c>
      <c r="C6" s="47" t="s">
        <v>54</v>
      </c>
      <c r="D6" s="48"/>
      <c r="E6" s="49" t="s">
        <v>52</v>
      </c>
      <c r="F6" s="48"/>
      <c r="G6" s="49" t="s">
        <v>69</v>
      </c>
      <c r="I6" s="49" t="s">
        <v>339</v>
      </c>
    </row>
    <row r="7" spans="2:15" x14ac:dyDescent="0.25">
      <c r="B7" s="46" t="s">
        <v>55</v>
      </c>
      <c r="C7" s="47" t="s">
        <v>56</v>
      </c>
      <c r="D7" s="48"/>
      <c r="E7" s="49" t="s">
        <v>64</v>
      </c>
      <c r="F7" s="48"/>
      <c r="G7" s="49" t="s">
        <v>70</v>
      </c>
      <c r="I7" s="49" t="s">
        <v>340</v>
      </c>
    </row>
    <row r="8" spans="2:15" ht="15" customHeight="1" x14ac:dyDescent="0.25">
      <c r="B8" s="46" t="s">
        <v>57</v>
      </c>
      <c r="C8" s="47" t="s">
        <v>58</v>
      </c>
      <c r="D8" s="48"/>
      <c r="E8" s="49" t="s">
        <v>61</v>
      </c>
      <c r="F8" s="48"/>
      <c r="G8" s="49" t="s">
        <v>71</v>
      </c>
      <c r="I8" s="49" t="s">
        <v>341</v>
      </c>
    </row>
    <row r="9" spans="2:15" x14ac:dyDescent="0.25">
      <c r="B9" s="46" t="s">
        <v>59</v>
      </c>
      <c r="C9" s="47" t="s">
        <v>60</v>
      </c>
      <c r="D9" s="48"/>
      <c r="E9" s="49" t="s">
        <v>62</v>
      </c>
      <c r="F9" s="48"/>
      <c r="G9" s="49" t="s">
        <v>72</v>
      </c>
      <c r="I9" s="49" t="s">
        <v>342</v>
      </c>
    </row>
    <row r="10" spans="2:15" ht="15" customHeight="1" x14ac:dyDescent="0.25">
      <c r="B10" s="48"/>
      <c r="C10" s="48"/>
      <c r="D10" s="48"/>
      <c r="E10" s="49" t="s">
        <v>63</v>
      </c>
      <c r="F10" s="48"/>
      <c r="G10" s="49" t="s">
        <v>73</v>
      </c>
      <c r="I10" s="49" t="s">
        <v>343</v>
      </c>
    </row>
    <row r="11" spans="2:15" ht="15" customHeight="1" x14ac:dyDescent="0.25">
      <c r="B11" s="44" t="s">
        <v>1319</v>
      </c>
      <c r="C11" s="44" t="s">
        <v>42</v>
      </c>
      <c r="D11" s="48"/>
      <c r="F11" s="48"/>
      <c r="G11" s="49" t="s">
        <v>271</v>
      </c>
      <c r="I11" s="49" t="s">
        <v>344</v>
      </c>
    </row>
    <row r="12" spans="2:15" ht="15" customHeight="1" x14ac:dyDescent="0.25">
      <c r="B12" s="46" t="s">
        <v>101</v>
      </c>
      <c r="C12" s="47" t="s">
        <v>102</v>
      </c>
      <c r="D12" s="48"/>
      <c r="F12" s="48"/>
      <c r="G12" s="49" t="s">
        <v>74</v>
      </c>
      <c r="I12" s="49" t="s">
        <v>345</v>
      </c>
    </row>
    <row r="13" spans="2:15" ht="15" customHeight="1" x14ac:dyDescent="0.25">
      <c r="B13" s="46" t="s">
        <v>173</v>
      </c>
      <c r="C13" s="47" t="s">
        <v>174</v>
      </c>
      <c r="D13" s="48"/>
      <c r="F13" s="48"/>
      <c r="G13" s="49" t="s">
        <v>75</v>
      </c>
      <c r="I13" s="49" t="s">
        <v>346</v>
      </c>
    </row>
    <row r="14" spans="2:15" ht="15.75" customHeight="1" x14ac:dyDescent="0.25">
      <c r="B14" s="46" t="s">
        <v>103</v>
      </c>
      <c r="C14" s="47" t="s">
        <v>104</v>
      </c>
      <c r="D14" s="48"/>
      <c r="E14" s="45"/>
      <c r="F14" s="48"/>
      <c r="G14" s="49" t="s">
        <v>76</v>
      </c>
      <c r="I14" s="49" t="s">
        <v>347</v>
      </c>
    </row>
    <row r="15" spans="2:15" x14ac:dyDescent="0.25">
      <c r="B15" s="46" t="s">
        <v>177</v>
      </c>
      <c r="C15" s="47" t="s">
        <v>175</v>
      </c>
      <c r="D15" s="48"/>
      <c r="E15" s="44" t="s">
        <v>113</v>
      </c>
      <c r="F15" s="48"/>
      <c r="G15" s="49" t="s">
        <v>77</v>
      </c>
    </row>
    <row r="16" spans="2:15" x14ac:dyDescent="0.25">
      <c r="B16" s="46" t="s">
        <v>105</v>
      </c>
      <c r="C16" s="47" t="s">
        <v>106</v>
      </c>
      <c r="D16" s="48"/>
      <c r="E16" s="47" t="s">
        <v>114</v>
      </c>
      <c r="F16" s="48"/>
      <c r="G16" s="49" t="s">
        <v>78</v>
      </c>
    </row>
    <row r="17" spans="2:7" x14ac:dyDescent="0.25">
      <c r="B17" s="46" t="s">
        <v>178</v>
      </c>
      <c r="C17" s="47" t="s">
        <v>176</v>
      </c>
      <c r="D17" s="48"/>
      <c r="E17" s="47" t="s">
        <v>115</v>
      </c>
      <c r="F17" s="48"/>
      <c r="G17" s="49" t="s">
        <v>79</v>
      </c>
    </row>
    <row r="18" spans="2:7" x14ac:dyDescent="0.25">
      <c r="B18" s="46" t="s">
        <v>107</v>
      </c>
      <c r="C18" s="47" t="s">
        <v>108</v>
      </c>
      <c r="D18" s="48"/>
      <c r="E18" s="47" t="s">
        <v>100</v>
      </c>
      <c r="F18" s="48"/>
      <c r="G18" s="49" t="s">
        <v>80</v>
      </c>
    </row>
    <row r="19" spans="2:7" x14ac:dyDescent="0.25">
      <c r="B19" s="46" t="s">
        <v>179</v>
      </c>
      <c r="C19" s="47" t="s">
        <v>180</v>
      </c>
      <c r="D19" s="48"/>
      <c r="E19" s="48"/>
      <c r="F19" s="48"/>
      <c r="G19" s="49" t="s">
        <v>81</v>
      </c>
    </row>
    <row r="20" spans="2:7" x14ac:dyDescent="0.25">
      <c r="B20" s="46" t="s">
        <v>109</v>
      </c>
      <c r="C20" s="47" t="s">
        <v>110</v>
      </c>
      <c r="D20" s="48"/>
      <c r="E20" s="44" t="s">
        <v>200</v>
      </c>
      <c r="F20" s="48"/>
      <c r="G20" s="49" t="s">
        <v>82</v>
      </c>
    </row>
    <row r="21" spans="2:7" x14ac:dyDescent="0.25">
      <c r="B21" s="46" t="s">
        <v>182</v>
      </c>
      <c r="C21" s="47" t="s">
        <v>181</v>
      </c>
      <c r="D21" s="48"/>
      <c r="E21" s="271" t="s">
        <v>267</v>
      </c>
      <c r="F21" s="48"/>
      <c r="G21" s="49" t="s">
        <v>83</v>
      </c>
    </row>
    <row r="22" spans="2:7" x14ac:dyDescent="0.25">
      <c r="B22" s="46" t="s">
        <v>168</v>
      </c>
      <c r="C22" s="47" t="s">
        <v>188</v>
      </c>
      <c r="D22" s="48"/>
      <c r="E22" s="271" t="s">
        <v>755</v>
      </c>
      <c r="F22" s="48"/>
      <c r="G22" s="49" t="s">
        <v>84</v>
      </c>
    </row>
    <row r="23" spans="2:7" x14ac:dyDescent="0.25">
      <c r="B23" s="46" t="s">
        <v>183</v>
      </c>
      <c r="C23" s="47" t="s">
        <v>189</v>
      </c>
      <c r="D23" s="48"/>
      <c r="E23" s="271" t="s">
        <v>214</v>
      </c>
      <c r="F23" s="48"/>
      <c r="G23" s="49" t="s">
        <v>85</v>
      </c>
    </row>
    <row r="24" spans="2:7" x14ac:dyDescent="0.25">
      <c r="B24" s="46" t="s">
        <v>169</v>
      </c>
      <c r="C24" s="47" t="s">
        <v>190</v>
      </c>
      <c r="D24" s="48"/>
      <c r="E24" s="271" t="s">
        <v>201</v>
      </c>
      <c r="F24" s="48"/>
      <c r="G24" s="49" t="s">
        <v>86</v>
      </c>
    </row>
    <row r="25" spans="2:7" x14ac:dyDescent="0.25">
      <c r="B25" s="46" t="s">
        <v>184</v>
      </c>
      <c r="C25" s="47" t="s">
        <v>191</v>
      </c>
      <c r="D25" s="48"/>
      <c r="E25" s="271" t="s">
        <v>202</v>
      </c>
      <c r="F25" s="48"/>
      <c r="G25" s="49" t="s">
        <v>87</v>
      </c>
    </row>
    <row r="26" spans="2:7" x14ac:dyDescent="0.25">
      <c r="B26" s="46" t="s">
        <v>170</v>
      </c>
      <c r="C26" s="47" t="s">
        <v>193</v>
      </c>
      <c r="D26" s="48"/>
      <c r="E26" s="271" t="s">
        <v>756</v>
      </c>
      <c r="F26" s="48"/>
      <c r="G26" s="49" t="s">
        <v>88</v>
      </c>
    </row>
    <row r="27" spans="2:7" x14ac:dyDescent="0.25">
      <c r="B27" s="46" t="s">
        <v>185</v>
      </c>
      <c r="C27" s="47" t="s">
        <v>192</v>
      </c>
      <c r="D27" s="48"/>
      <c r="E27" s="271" t="s">
        <v>751</v>
      </c>
      <c r="F27" s="48"/>
      <c r="G27" s="49" t="s">
        <v>89</v>
      </c>
    </row>
    <row r="28" spans="2:7" x14ac:dyDescent="0.25">
      <c r="B28" s="46" t="s">
        <v>171</v>
      </c>
      <c r="C28" s="47" t="s">
        <v>194</v>
      </c>
      <c r="D28" s="48"/>
      <c r="E28" s="271" t="s">
        <v>1312</v>
      </c>
      <c r="F28" s="48"/>
      <c r="G28" s="49" t="s">
        <v>90</v>
      </c>
    </row>
    <row r="29" spans="2:7" ht="25.5" x14ac:dyDescent="0.25">
      <c r="B29" s="46" t="s">
        <v>186</v>
      </c>
      <c r="C29" s="47" t="s">
        <v>195</v>
      </c>
      <c r="D29" s="48"/>
      <c r="E29" s="271" t="s">
        <v>757</v>
      </c>
      <c r="F29" s="48"/>
      <c r="G29" s="49" t="s">
        <v>91</v>
      </c>
    </row>
    <row r="30" spans="2:7" x14ac:dyDescent="0.25">
      <c r="B30" s="46" t="s">
        <v>172</v>
      </c>
      <c r="C30" s="47" t="s">
        <v>197</v>
      </c>
      <c r="D30" s="48"/>
      <c r="E30" s="271" t="s">
        <v>203</v>
      </c>
      <c r="F30" s="48"/>
      <c r="G30" s="49" t="s">
        <v>92</v>
      </c>
    </row>
    <row r="31" spans="2:7" x14ac:dyDescent="0.25">
      <c r="B31" s="46" t="s">
        <v>187</v>
      </c>
      <c r="C31" s="47" t="s">
        <v>196</v>
      </c>
      <c r="D31" s="48"/>
      <c r="E31" s="271" t="s">
        <v>204</v>
      </c>
      <c r="F31" s="48"/>
      <c r="G31" s="49" t="s">
        <v>93</v>
      </c>
    </row>
    <row r="32" spans="2:7" x14ac:dyDescent="0.25">
      <c r="B32" s="46" t="s">
        <v>198</v>
      </c>
      <c r="C32" s="47" t="s">
        <v>199</v>
      </c>
      <c r="D32" s="48"/>
      <c r="E32" s="271" t="s">
        <v>205</v>
      </c>
      <c r="F32" s="48"/>
      <c r="G32" s="49" t="s">
        <v>94</v>
      </c>
    </row>
    <row r="33" spans="2:7" x14ac:dyDescent="0.25">
      <c r="B33" s="46" t="s">
        <v>111</v>
      </c>
      <c r="C33" s="47" t="s">
        <v>112</v>
      </c>
      <c r="D33" s="48"/>
      <c r="E33" s="271" t="s">
        <v>752</v>
      </c>
      <c r="F33" s="48"/>
      <c r="G33" s="49" t="s">
        <v>269</v>
      </c>
    </row>
    <row r="34" spans="2:7" ht="25.5" x14ac:dyDescent="0.25">
      <c r="B34" s="46" t="s">
        <v>100</v>
      </c>
      <c r="C34" s="47" t="s">
        <v>60</v>
      </c>
      <c r="D34" s="48"/>
      <c r="E34" s="271" t="s">
        <v>758</v>
      </c>
      <c r="F34" s="48"/>
      <c r="G34" s="49" t="s">
        <v>268</v>
      </c>
    </row>
    <row r="35" spans="2:7" ht="25.5" x14ac:dyDescent="0.25">
      <c r="B35" s="529"/>
      <c r="C35" s="530"/>
      <c r="D35" s="48"/>
      <c r="E35" s="271" t="s">
        <v>759</v>
      </c>
      <c r="F35" s="48"/>
      <c r="G35" s="49" t="s">
        <v>95</v>
      </c>
    </row>
    <row r="36" spans="2:7" x14ac:dyDescent="0.25">
      <c r="B36" s="48"/>
      <c r="C36" s="48"/>
      <c r="D36" s="48"/>
      <c r="E36" s="271" t="s">
        <v>753</v>
      </c>
      <c r="F36" s="48"/>
      <c r="G36" s="49" t="s">
        <v>96</v>
      </c>
    </row>
    <row r="37" spans="2:7" ht="25.5" x14ac:dyDescent="0.25">
      <c r="B37" s="44" t="s">
        <v>150</v>
      </c>
      <c r="C37" s="44" t="s">
        <v>42</v>
      </c>
      <c r="D37" s="48"/>
      <c r="E37" s="271" t="s">
        <v>760</v>
      </c>
      <c r="F37" s="48"/>
      <c r="G37" s="49" t="s">
        <v>97</v>
      </c>
    </row>
    <row r="38" spans="2:7" ht="25.5" x14ac:dyDescent="0.25">
      <c r="B38" s="46" t="s">
        <v>149</v>
      </c>
      <c r="C38" s="49" t="s">
        <v>164</v>
      </c>
      <c r="D38" s="48"/>
      <c r="E38" s="271" t="s">
        <v>352</v>
      </c>
      <c r="F38" s="48"/>
      <c r="G38" s="49" t="s">
        <v>270</v>
      </c>
    </row>
    <row r="39" spans="2:7" x14ac:dyDescent="0.25">
      <c r="B39" s="46" t="s">
        <v>151</v>
      </c>
      <c r="C39" s="49" t="s">
        <v>165</v>
      </c>
      <c r="D39" s="48"/>
      <c r="E39" s="271" t="s">
        <v>761</v>
      </c>
      <c r="F39" s="48"/>
      <c r="G39" s="49" t="s">
        <v>98</v>
      </c>
    </row>
    <row r="40" spans="2:7" ht="32.25" customHeight="1" x14ac:dyDescent="0.25">
      <c r="B40" s="46" t="s">
        <v>152</v>
      </c>
      <c r="C40" s="49" t="s">
        <v>166</v>
      </c>
      <c r="D40" s="48"/>
      <c r="E40" s="271" t="s">
        <v>762</v>
      </c>
      <c r="F40" s="48"/>
      <c r="G40" s="49" t="s">
        <v>99</v>
      </c>
    </row>
    <row r="41" spans="2:7" ht="25.5" x14ac:dyDescent="0.25">
      <c r="B41" s="48"/>
      <c r="C41" s="48"/>
      <c r="D41" s="48"/>
      <c r="E41" s="271" t="s">
        <v>763</v>
      </c>
      <c r="F41" s="48"/>
      <c r="G41" s="49" t="s">
        <v>766</v>
      </c>
    </row>
    <row r="42" spans="2:7" ht="51.75" customHeight="1" x14ac:dyDescent="0.25">
      <c r="C42" s="48"/>
      <c r="D42" s="48"/>
      <c r="E42" s="271" t="s">
        <v>764</v>
      </c>
      <c r="F42" s="48"/>
      <c r="G42" s="49" t="s">
        <v>767</v>
      </c>
    </row>
    <row r="43" spans="2:7" x14ac:dyDescent="0.25">
      <c r="B43" s="48"/>
      <c r="C43" s="48"/>
      <c r="D43" s="48"/>
      <c r="E43" s="271" t="s">
        <v>353</v>
      </c>
      <c r="F43" s="48"/>
      <c r="G43" s="49" t="s">
        <v>768</v>
      </c>
    </row>
    <row r="44" spans="2:7" x14ac:dyDescent="0.25">
      <c r="B44" s="48"/>
      <c r="C44" s="48"/>
      <c r="D44" s="48"/>
      <c r="E44" s="271" t="s">
        <v>765</v>
      </c>
      <c r="F44" s="48"/>
      <c r="G44" s="49" t="s">
        <v>769</v>
      </c>
    </row>
    <row r="45" spans="2:7" x14ac:dyDescent="0.25">
      <c r="B45" s="48"/>
      <c r="C45" s="48"/>
      <c r="D45" s="48"/>
      <c r="E45" s="271" t="s">
        <v>750</v>
      </c>
      <c r="F45" s="48"/>
      <c r="G45" s="49" t="s">
        <v>770</v>
      </c>
    </row>
    <row r="46" spans="2:7" x14ac:dyDescent="0.25">
      <c r="B46" s="48"/>
      <c r="C46" s="48"/>
      <c r="D46" s="48"/>
      <c r="E46" s="50" t="s">
        <v>266</v>
      </c>
      <c r="F46" s="48"/>
      <c r="G46" s="49" t="s">
        <v>771</v>
      </c>
    </row>
    <row r="47" spans="2:7" x14ac:dyDescent="0.25">
      <c r="B47" s="48"/>
      <c r="C47" s="48"/>
      <c r="D47" s="48"/>
      <c r="E47" s="48"/>
      <c r="F47" s="48"/>
      <c r="G47" s="49" t="s">
        <v>772</v>
      </c>
    </row>
    <row r="48" spans="2:7" x14ac:dyDescent="0.25">
      <c r="B48" s="48"/>
      <c r="C48" s="48"/>
      <c r="D48" s="48"/>
      <c r="E48" s="48"/>
      <c r="F48" s="48"/>
      <c r="G48" s="49" t="s">
        <v>773</v>
      </c>
    </row>
    <row r="49" spans="2:7" x14ac:dyDescent="0.25">
      <c r="B49" s="48"/>
      <c r="C49" s="48"/>
      <c r="D49" s="48"/>
      <c r="E49" s="48"/>
      <c r="F49" s="48"/>
      <c r="G49" s="49" t="s">
        <v>774</v>
      </c>
    </row>
    <row r="50" spans="2:7" x14ac:dyDescent="0.25">
      <c r="B50" s="48"/>
      <c r="C50" s="48"/>
      <c r="D50" s="48"/>
      <c r="E50" s="48"/>
      <c r="F50" s="48"/>
      <c r="G50" s="49" t="s">
        <v>775</v>
      </c>
    </row>
    <row r="51" spans="2:7" x14ac:dyDescent="0.25">
      <c r="B51" s="48"/>
      <c r="C51" s="48"/>
      <c r="D51" s="48"/>
      <c r="E51" s="48"/>
      <c r="F51" s="48"/>
      <c r="G51" s="49" t="s">
        <v>776</v>
      </c>
    </row>
    <row r="52" spans="2:7" x14ac:dyDescent="0.25">
      <c r="B52" s="48"/>
      <c r="C52" s="48"/>
      <c r="D52" s="48"/>
      <c r="E52" s="48"/>
      <c r="F52" s="48"/>
      <c r="G52" s="49" t="s">
        <v>777</v>
      </c>
    </row>
    <row r="53" spans="2:7" x14ac:dyDescent="0.25">
      <c r="B53" s="48"/>
      <c r="C53" s="48"/>
      <c r="E53" s="48"/>
      <c r="G53" s="49" t="s">
        <v>100</v>
      </c>
    </row>
    <row r="54" spans="2:7" x14ac:dyDescent="0.25">
      <c r="E54" s="48"/>
      <c r="G54" s="49" t="s">
        <v>1321</v>
      </c>
    </row>
    <row r="55" spans="2:7" x14ac:dyDescent="0.25">
      <c r="E55" s="48"/>
    </row>
    <row r="56" spans="2:7" ht="40.5" customHeight="1" x14ac:dyDescent="0.25">
      <c r="B56" s="865" t="s">
        <v>1318</v>
      </c>
      <c r="C56" s="866"/>
      <c r="D56" s="866"/>
      <c r="E56" s="866"/>
      <c r="F56" s="866"/>
      <c r="G56" s="866"/>
    </row>
    <row r="57" spans="2:7" ht="31.5" customHeight="1" x14ac:dyDescent="0.25">
      <c r="B57" s="865" t="s">
        <v>1322</v>
      </c>
      <c r="C57" s="866"/>
      <c r="D57" s="866"/>
      <c r="E57" s="866"/>
      <c r="F57" s="866"/>
      <c r="G57" s="866"/>
    </row>
    <row r="58" spans="2:7" x14ac:dyDescent="0.25">
      <c r="E58" s="48"/>
    </row>
  </sheetData>
  <mergeCells count="2">
    <mergeCell ref="B56:G56"/>
    <mergeCell ref="B57:G5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3"/>
  <sheetViews>
    <sheetView zoomScaleNormal="100" workbookViewId="0">
      <selection activeCell="N12" sqref="N12"/>
    </sheetView>
  </sheetViews>
  <sheetFormatPr defaultRowHeight="15" x14ac:dyDescent="0.25"/>
  <cols>
    <col min="1" max="1" width="3.85546875" style="249" customWidth="1"/>
    <col min="2" max="2" width="29.7109375" style="249" customWidth="1"/>
    <col min="3" max="3" width="5.5703125" style="250" customWidth="1"/>
    <col min="4" max="4" width="27.85546875" style="249" customWidth="1"/>
    <col min="5" max="5" width="5.5703125" style="249" customWidth="1"/>
    <col min="6" max="6" width="27.85546875" style="249" customWidth="1"/>
    <col min="7" max="7" width="5.5703125" style="249" customWidth="1"/>
    <col min="8" max="8" width="27.85546875" style="249" customWidth="1"/>
    <col min="9" max="9" width="5.5703125" style="249" customWidth="1"/>
    <col min="10" max="10" width="27.85546875" style="249" customWidth="1"/>
    <col min="11" max="11" width="5.5703125" style="249" customWidth="1"/>
    <col min="12" max="12" width="27.85546875" style="249" customWidth="1"/>
    <col min="13" max="13" width="5.5703125" style="249" customWidth="1"/>
    <col min="14" max="14" width="27.85546875" style="249" customWidth="1"/>
    <col min="15" max="15" width="5.5703125" style="249" customWidth="1"/>
    <col min="16" max="16" width="27.85546875" style="249" customWidth="1"/>
    <col min="17" max="17" width="5.5703125" style="249" customWidth="1"/>
    <col min="18" max="18" width="27.85546875" style="249" customWidth="1"/>
    <col min="19" max="19" width="5.5703125" style="249" customWidth="1"/>
    <col min="20" max="20" width="27.85546875" style="249" customWidth="1"/>
    <col min="21" max="21" width="5.5703125" style="249" customWidth="1"/>
    <col min="22" max="22" width="27.85546875" style="249" customWidth="1"/>
    <col min="23" max="23" width="5.5703125" style="249" customWidth="1"/>
    <col min="24" max="24" width="27.85546875" style="249" customWidth="1"/>
    <col min="25" max="25" width="5.5703125" style="249" customWidth="1"/>
    <col min="26" max="26" width="27.85546875" style="249" customWidth="1"/>
    <col min="27" max="27" width="5.5703125" style="249" customWidth="1"/>
    <col min="28" max="28" width="27.85546875" style="249" customWidth="1"/>
    <col min="29" max="29" width="5.5703125" style="249" customWidth="1"/>
    <col min="30" max="30" width="29.5703125" style="249" customWidth="1"/>
    <col min="31" max="31" width="5.5703125" style="249" customWidth="1"/>
    <col min="32" max="32" width="27.85546875" style="249" customWidth="1"/>
    <col min="33" max="33" width="5.5703125" style="249" customWidth="1"/>
    <col min="34" max="34" width="27.85546875" style="249" customWidth="1"/>
    <col min="35" max="35" width="5.5703125" style="249" customWidth="1"/>
    <col min="36" max="36" width="27.85546875" style="249" customWidth="1"/>
    <col min="37" max="37" width="6.85546875" style="249" customWidth="1"/>
    <col min="38" max="16384" width="9.140625" style="249"/>
  </cols>
  <sheetData>
    <row r="1" spans="1:37" ht="15.75" thickBot="1" x14ac:dyDescent="0.3">
      <c r="A1" s="339"/>
      <c r="B1" s="339"/>
      <c r="C1" s="340"/>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row>
    <row r="2" spans="1:37" ht="15.75" customHeight="1" thickBot="1" x14ac:dyDescent="0.3">
      <c r="A2" s="339"/>
      <c r="B2" s="251" t="s">
        <v>354</v>
      </c>
      <c r="C2" s="341"/>
      <c r="D2" s="867" t="s">
        <v>754</v>
      </c>
      <c r="E2" s="867"/>
      <c r="F2" s="867"/>
      <c r="G2" s="867"/>
      <c r="H2" s="867"/>
      <c r="I2" s="867"/>
      <c r="J2" s="867"/>
      <c r="K2" s="867"/>
      <c r="L2" s="867"/>
      <c r="M2" s="339"/>
      <c r="N2" s="339"/>
      <c r="O2" s="339"/>
      <c r="P2" s="339"/>
      <c r="Q2" s="339"/>
      <c r="R2" s="339"/>
      <c r="S2" s="339"/>
      <c r="T2" s="339"/>
      <c r="U2" s="339"/>
      <c r="V2" s="339"/>
      <c r="W2" s="339"/>
      <c r="X2" s="339"/>
      <c r="Y2" s="339"/>
      <c r="Z2" s="339"/>
      <c r="AA2" s="339"/>
      <c r="AB2" s="339"/>
      <c r="AC2" s="339"/>
      <c r="AD2" s="339"/>
      <c r="AE2" s="339"/>
      <c r="AF2" s="339"/>
      <c r="AG2" s="339"/>
      <c r="AH2" s="339"/>
      <c r="AI2" s="339"/>
      <c r="AJ2" s="339"/>
    </row>
    <row r="3" spans="1:37" ht="15.75" thickBot="1" x14ac:dyDescent="0.3">
      <c r="A3" s="339"/>
      <c r="B3" s="252" t="s">
        <v>355</v>
      </c>
      <c r="C3" s="340"/>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row>
    <row r="4" spans="1:37" ht="15.75" thickBot="1" x14ac:dyDescent="0.3">
      <c r="A4" s="339"/>
      <c r="B4" s="253" t="s">
        <v>356</v>
      </c>
      <c r="C4" s="340"/>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row>
    <row r="5" spans="1:37" ht="15.75" thickBot="1" x14ac:dyDescent="0.3">
      <c r="A5" s="339"/>
      <c r="B5" s="342" t="s">
        <v>745</v>
      </c>
      <c r="C5" s="340"/>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row>
    <row r="6" spans="1:37" ht="15.75" thickBot="1" x14ac:dyDescent="0.3">
      <c r="A6" s="339"/>
      <c r="B6" s="339"/>
      <c r="C6" s="340"/>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row>
    <row r="7" spans="1:37" ht="39" thickBot="1" x14ac:dyDescent="0.3">
      <c r="A7" s="339"/>
      <c r="B7" s="275" t="s">
        <v>853</v>
      </c>
      <c r="C7" s="275" t="s">
        <v>357</v>
      </c>
      <c r="D7" s="343" t="s">
        <v>854</v>
      </c>
      <c r="E7" s="278" t="s">
        <v>358</v>
      </c>
      <c r="F7" s="344" t="s">
        <v>756</v>
      </c>
      <c r="G7" s="254" t="s">
        <v>360</v>
      </c>
      <c r="H7" s="344" t="s">
        <v>751</v>
      </c>
      <c r="I7" s="254" t="s">
        <v>361</v>
      </c>
      <c r="J7" s="344" t="s">
        <v>855</v>
      </c>
      <c r="K7" s="254" t="s">
        <v>362</v>
      </c>
      <c r="L7" s="344" t="s">
        <v>781</v>
      </c>
      <c r="M7" s="254" t="s">
        <v>363</v>
      </c>
      <c r="N7" s="344" t="s">
        <v>762</v>
      </c>
      <c r="O7" s="254" t="s">
        <v>364</v>
      </c>
      <c r="P7" s="344" t="s">
        <v>856</v>
      </c>
      <c r="Q7" s="254" t="s">
        <v>365</v>
      </c>
      <c r="R7" s="344" t="s">
        <v>763</v>
      </c>
      <c r="S7" s="254" t="s">
        <v>366</v>
      </c>
      <c r="T7" s="343" t="s">
        <v>765</v>
      </c>
      <c r="U7" s="278" t="s">
        <v>367</v>
      </c>
      <c r="V7" s="344" t="s">
        <v>764</v>
      </c>
      <c r="W7" s="254" t="s">
        <v>368</v>
      </c>
      <c r="X7" s="344" t="s">
        <v>353</v>
      </c>
      <c r="Y7" s="254" t="s">
        <v>369</v>
      </c>
      <c r="Z7" s="343" t="s">
        <v>857</v>
      </c>
      <c r="AA7" s="380" t="s">
        <v>370</v>
      </c>
      <c r="AB7" s="344" t="s">
        <v>758</v>
      </c>
      <c r="AC7" s="254" t="s">
        <v>371</v>
      </c>
      <c r="AD7" s="381" t="s">
        <v>1312</v>
      </c>
      <c r="AE7" s="382" t="s">
        <v>372</v>
      </c>
      <c r="AF7" s="344" t="s">
        <v>750</v>
      </c>
      <c r="AG7" s="382" t="s">
        <v>373</v>
      </c>
      <c r="AH7" s="383" t="s">
        <v>757</v>
      </c>
      <c r="AI7" s="384">
        <v>1700</v>
      </c>
      <c r="AJ7" s="381" t="s">
        <v>755</v>
      </c>
      <c r="AK7" s="254">
        <v>1800</v>
      </c>
    </row>
    <row r="8" spans="1:37" ht="78.75" customHeight="1" thickBot="1" x14ac:dyDescent="0.3">
      <c r="A8" s="339"/>
      <c r="B8" s="345" t="s">
        <v>858</v>
      </c>
      <c r="C8" s="280">
        <v>1101</v>
      </c>
      <c r="D8" s="346" t="s">
        <v>779</v>
      </c>
      <c r="E8" s="255" t="s">
        <v>374</v>
      </c>
      <c r="F8" s="347" t="s">
        <v>859</v>
      </c>
      <c r="G8" s="255" t="s">
        <v>375</v>
      </c>
      <c r="H8" s="347" t="s">
        <v>860</v>
      </c>
      <c r="I8" s="256" t="s">
        <v>376</v>
      </c>
      <c r="J8" s="347" t="s">
        <v>861</v>
      </c>
      <c r="K8" s="385" t="s">
        <v>377</v>
      </c>
      <c r="L8" s="346" t="s">
        <v>782</v>
      </c>
      <c r="M8" s="255" t="s">
        <v>378</v>
      </c>
      <c r="N8" s="346" t="s">
        <v>862</v>
      </c>
      <c r="O8" s="256" t="s">
        <v>379</v>
      </c>
      <c r="P8" s="347" t="s">
        <v>863</v>
      </c>
      <c r="Q8" s="255" t="s">
        <v>380</v>
      </c>
      <c r="R8" s="347" t="s">
        <v>864</v>
      </c>
      <c r="S8" s="256" t="s">
        <v>381</v>
      </c>
      <c r="T8" s="347" t="s">
        <v>865</v>
      </c>
      <c r="U8" s="255" t="s">
        <v>382</v>
      </c>
      <c r="V8" s="346" t="s">
        <v>866</v>
      </c>
      <c r="W8" s="256" t="s">
        <v>383</v>
      </c>
      <c r="X8" s="347" t="s">
        <v>867</v>
      </c>
      <c r="Y8" s="256" t="s">
        <v>384</v>
      </c>
      <c r="Z8" s="347" t="s">
        <v>868</v>
      </c>
      <c r="AA8" s="256" t="s">
        <v>834</v>
      </c>
      <c r="AB8" s="347" t="s">
        <v>869</v>
      </c>
      <c r="AC8" s="255" t="s">
        <v>385</v>
      </c>
      <c r="AD8" s="346" t="s">
        <v>870</v>
      </c>
      <c r="AE8" s="256" t="s">
        <v>386</v>
      </c>
      <c r="AF8" s="347" t="s">
        <v>387</v>
      </c>
      <c r="AG8" s="256" t="s">
        <v>388</v>
      </c>
      <c r="AH8" s="347" t="s">
        <v>871</v>
      </c>
      <c r="AI8" s="276">
        <v>1701</v>
      </c>
      <c r="AJ8" s="346" t="s">
        <v>872</v>
      </c>
      <c r="AK8" s="255" t="s">
        <v>841</v>
      </c>
    </row>
    <row r="9" spans="1:37" ht="70.5" customHeight="1" thickBot="1" x14ac:dyDescent="0.3">
      <c r="A9" s="339"/>
      <c r="B9" s="348" t="s">
        <v>873</v>
      </c>
      <c r="C9" s="276">
        <v>1102</v>
      </c>
      <c r="D9" s="349" t="s">
        <v>874</v>
      </c>
      <c r="E9" s="257" t="s">
        <v>389</v>
      </c>
      <c r="F9" s="350" t="s">
        <v>875</v>
      </c>
      <c r="G9" s="257" t="s">
        <v>390</v>
      </c>
      <c r="H9" s="350" t="s">
        <v>876</v>
      </c>
      <c r="I9" s="258" t="s">
        <v>391</v>
      </c>
      <c r="J9" s="350" t="s">
        <v>877</v>
      </c>
      <c r="K9" s="257" t="s">
        <v>392</v>
      </c>
      <c r="L9" s="349" t="s">
        <v>393</v>
      </c>
      <c r="M9" s="257" t="s">
        <v>394</v>
      </c>
      <c r="N9" s="349" t="s">
        <v>878</v>
      </c>
      <c r="O9" s="258" t="s">
        <v>395</v>
      </c>
      <c r="P9" s="350" t="s">
        <v>879</v>
      </c>
      <c r="Q9" s="257" t="s">
        <v>396</v>
      </c>
      <c r="R9" s="350" t="s">
        <v>880</v>
      </c>
      <c r="S9" s="258" t="s">
        <v>397</v>
      </c>
      <c r="T9" s="350" t="s">
        <v>881</v>
      </c>
      <c r="U9" s="257" t="s">
        <v>398</v>
      </c>
      <c r="V9" s="349" t="s">
        <v>882</v>
      </c>
      <c r="W9" s="258" t="s">
        <v>399</v>
      </c>
      <c r="X9" s="350" t="s">
        <v>883</v>
      </c>
      <c r="Y9" s="258" t="s">
        <v>400</v>
      </c>
      <c r="Z9" s="350" t="s">
        <v>435</v>
      </c>
      <c r="AA9" s="258" t="s">
        <v>835</v>
      </c>
      <c r="AB9" s="350" t="s">
        <v>884</v>
      </c>
      <c r="AC9" s="257" t="s">
        <v>401</v>
      </c>
      <c r="AD9" s="349" t="s">
        <v>885</v>
      </c>
      <c r="AE9" s="258" t="s">
        <v>402</v>
      </c>
      <c r="AF9" s="350" t="s">
        <v>403</v>
      </c>
      <c r="AG9" s="258" t="s">
        <v>404</v>
      </c>
      <c r="AH9" s="347" t="s">
        <v>886</v>
      </c>
      <c r="AI9" s="281">
        <v>1702</v>
      </c>
      <c r="AJ9" s="349" t="s">
        <v>887</v>
      </c>
      <c r="AK9" s="257" t="s">
        <v>842</v>
      </c>
    </row>
    <row r="10" spans="1:37" ht="51.75" thickBot="1" x14ac:dyDescent="0.3">
      <c r="A10" s="339"/>
      <c r="B10" s="351" t="s">
        <v>789</v>
      </c>
      <c r="C10" s="276">
        <v>1103</v>
      </c>
      <c r="D10" s="349" t="s">
        <v>405</v>
      </c>
      <c r="E10" s="257" t="s">
        <v>406</v>
      </c>
      <c r="F10" s="350" t="s">
        <v>888</v>
      </c>
      <c r="G10" s="257" t="s">
        <v>407</v>
      </c>
      <c r="H10" s="350" t="s">
        <v>889</v>
      </c>
      <c r="I10" s="258" t="s">
        <v>408</v>
      </c>
      <c r="J10" s="350" t="s">
        <v>890</v>
      </c>
      <c r="K10" s="257" t="s">
        <v>409</v>
      </c>
      <c r="L10" s="349" t="s">
        <v>410</v>
      </c>
      <c r="M10" s="257" t="s">
        <v>411</v>
      </c>
      <c r="N10" s="352" t="s">
        <v>891</v>
      </c>
      <c r="O10" s="261" t="s">
        <v>412</v>
      </c>
      <c r="P10" s="350" t="s">
        <v>892</v>
      </c>
      <c r="Q10" s="257" t="s">
        <v>413</v>
      </c>
      <c r="R10" s="350" t="s">
        <v>893</v>
      </c>
      <c r="S10" s="258" t="s">
        <v>414</v>
      </c>
      <c r="T10" s="350" t="s">
        <v>894</v>
      </c>
      <c r="U10" s="257" t="s">
        <v>415</v>
      </c>
      <c r="V10" s="349" t="s">
        <v>895</v>
      </c>
      <c r="W10" s="258" t="s">
        <v>416</v>
      </c>
      <c r="X10" s="350" t="s">
        <v>896</v>
      </c>
      <c r="Y10" s="258" t="s">
        <v>417</v>
      </c>
      <c r="Z10" s="350" t="s">
        <v>897</v>
      </c>
      <c r="AA10" s="258" t="s">
        <v>836</v>
      </c>
      <c r="AB10" s="350" t="s">
        <v>898</v>
      </c>
      <c r="AC10" s="257" t="s">
        <v>418</v>
      </c>
      <c r="AD10" s="352" t="s">
        <v>1313</v>
      </c>
      <c r="AE10" s="261" t="s">
        <v>432</v>
      </c>
      <c r="AF10" s="350" t="s">
        <v>419</v>
      </c>
      <c r="AG10" s="258" t="s">
        <v>420</v>
      </c>
      <c r="AH10" s="347" t="s">
        <v>899</v>
      </c>
      <c r="AI10" s="257" t="s">
        <v>844</v>
      </c>
      <c r="AJ10" s="352" t="s">
        <v>900</v>
      </c>
      <c r="AK10" s="259" t="s">
        <v>843</v>
      </c>
    </row>
    <row r="11" spans="1:37" ht="50.25" customHeight="1" thickBot="1" x14ac:dyDescent="0.3">
      <c r="A11" s="339"/>
      <c r="B11" s="350" t="s">
        <v>901</v>
      </c>
      <c r="C11" s="276">
        <v>1104</v>
      </c>
      <c r="D11" s="349" t="s">
        <v>902</v>
      </c>
      <c r="E11" s="257" t="s">
        <v>421</v>
      </c>
      <c r="F11" s="350" t="s">
        <v>903</v>
      </c>
      <c r="G11" s="257" t="s">
        <v>837</v>
      </c>
      <c r="H11" s="350" t="s">
        <v>904</v>
      </c>
      <c r="I11" s="258" t="s">
        <v>422</v>
      </c>
      <c r="J11" s="350" t="s">
        <v>905</v>
      </c>
      <c r="K11" s="257" t="s">
        <v>423</v>
      </c>
      <c r="L11" s="349" t="s">
        <v>424</v>
      </c>
      <c r="M11" s="257" t="s">
        <v>425</v>
      </c>
      <c r="N11" s="273"/>
      <c r="O11" s="277"/>
      <c r="P11" s="350" t="s">
        <v>906</v>
      </c>
      <c r="Q11" s="257" t="s">
        <v>426</v>
      </c>
      <c r="R11" s="350" t="s">
        <v>907</v>
      </c>
      <c r="S11" s="258" t="s">
        <v>427</v>
      </c>
      <c r="T11" s="350" t="s">
        <v>908</v>
      </c>
      <c r="U11" s="257" t="s">
        <v>428</v>
      </c>
      <c r="V11" s="349" t="s">
        <v>909</v>
      </c>
      <c r="W11" s="258" t="s">
        <v>429</v>
      </c>
      <c r="X11" s="350" t="s">
        <v>910</v>
      </c>
      <c r="Y11" s="258" t="s">
        <v>430</v>
      </c>
      <c r="Z11" s="350" t="s">
        <v>1254</v>
      </c>
      <c r="AA11" s="258" t="s">
        <v>1255</v>
      </c>
      <c r="AB11" s="350" t="s">
        <v>911</v>
      </c>
      <c r="AC11" s="257" t="s">
        <v>431</v>
      </c>
      <c r="AD11" s="273"/>
      <c r="AE11" s="277"/>
      <c r="AF11" s="350" t="s">
        <v>433</v>
      </c>
      <c r="AG11" s="258" t="s">
        <v>434</v>
      </c>
      <c r="AH11" s="347" t="s">
        <v>912</v>
      </c>
      <c r="AI11" s="257" t="s">
        <v>845</v>
      </c>
      <c r="AJ11" s="339"/>
    </row>
    <row r="12" spans="1:37" ht="102.75" thickBot="1" x14ac:dyDescent="0.3">
      <c r="A12" s="339"/>
      <c r="B12" s="350" t="s">
        <v>913</v>
      </c>
      <c r="C12" s="276">
        <v>1105</v>
      </c>
      <c r="D12" s="349" t="s">
        <v>436</v>
      </c>
      <c r="E12" s="257" t="s">
        <v>437</v>
      </c>
      <c r="F12" s="350" t="s">
        <v>914</v>
      </c>
      <c r="G12" s="257" t="s">
        <v>838</v>
      </c>
      <c r="H12" s="350" t="s">
        <v>915</v>
      </c>
      <c r="I12" s="258" t="s">
        <v>438</v>
      </c>
      <c r="J12" s="350" t="s">
        <v>916</v>
      </c>
      <c r="K12" s="257" t="s">
        <v>439</v>
      </c>
      <c r="L12" s="349" t="s">
        <v>440</v>
      </c>
      <c r="M12" s="257" t="s">
        <v>441</v>
      </c>
      <c r="N12" s="273"/>
      <c r="O12" s="277"/>
      <c r="P12" s="350" t="s">
        <v>917</v>
      </c>
      <c r="Q12" s="255" t="s">
        <v>442</v>
      </c>
      <c r="R12" s="350" t="s">
        <v>918</v>
      </c>
      <c r="S12" s="258" t="s">
        <v>443</v>
      </c>
      <c r="T12" s="350" t="s">
        <v>919</v>
      </c>
      <c r="U12" s="257" t="s">
        <v>444</v>
      </c>
      <c r="V12" s="349" t="s">
        <v>920</v>
      </c>
      <c r="W12" s="258" t="s">
        <v>445</v>
      </c>
      <c r="X12" s="350" t="s">
        <v>921</v>
      </c>
      <c r="Y12" s="258" t="s">
        <v>446</v>
      </c>
      <c r="Z12" s="350" t="s">
        <v>1256</v>
      </c>
      <c r="AA12" s="258" t="s">
        <v>1257</v>
      </c>
      <c r="AB12" s="386" t="s">
        <v>922</v>
      </c>
      <c r="AC12" s="387" t="s">
        <v>447</v>
      </c>
      <c r="AD12" s="260"/>
      <c r="AE12" s="260"/>
      <c r="AF12" s="386" t="s">
        <v>448</v>
      </c>
      <c r="AG12" s="388" t="s">
        <v>449</v>
      </c>
      <c r="AH12" s="347" t="s">
        <v>923</v>
      </c>
      <c r="AI12" s="281">
        <v>1705</v>
      </c>
      <c r="AJ12" s="339"/>
    </row>
    <row r="13" spans="1:37" ht="90" thickBot="1" x14ac:dyDescent="0.3">
      <c r="A13" s="339"/>
      <c r="B13" s="350" t="s">
        <v>924</v>
      </c>
      <c r="C13" s="276">
        <v>1106</v>
      </c>
      <c r="D13" s="349" t="s">
        <v>925</v>
      </c>
      <c r="E13" s="257" t="s">
        <v>450</v>
      </c>
      <c r="F13" s="350" t="s">
        <v>926</v>
      </c>
      <c r="G13" s="257" t="s">
        <v>839</v>
      </c>
      <c r="H13" s="350" t="s">
        <v>927</v>
      </c>
      <c r="I13" s="258" t="s">
        <v>451</v>
      </c>
      <c r="J13" s="350" t="s">
        <v>928</v>
      </c>
      <c r="K13" s="257" t="s">
        <v>452</v>
      </c>
      <c r="L13" s="349" t="s">
        <v>453</v>
      </c>
      <c r="M13" s="257" t="s">
        <v>454</v>
      </c>
      <c r="N13" s="273"/>
      <c r="O13" s="277"/>
      <c r="P13" s="350" t="s">
        <v>929</v>
      </c>
      <c r="Q13" s="257" t="s">
        <v>455</v>
      </c>
      <c r="R13" s="350" t="s">
        <v>930</v>
      </c>
      <c r="S13" s="258" t="s">
        <v>456</v>
      </c>
      <c r="T13" s="350" t="s">
        <v>931</v>
      </c>
      <c r="U13" s="257" t="s">
        <v>457</v>
      </c>
      <c r="V13" s="349" t="s">
        <v>932</v>
      </c>
      <c r="W13" s="258" t="s">
        <v>458</v>
      </c>
      <c r="X13" s="350" t="s">
        <v>933</v>
      </c>
      <c r="Y13" s="258" t="s">
        <v>459</v>
      </c>
      <c r="Z13" s="350" t="s">
        <v>1258</v>
      </c>
      <c r="AA13" s="258" t="s">
        <v>1259</v>
      </c>
      <c r="AB13" s="350" t="s">
        <v>934</v>
      </c>
      <c r="AC13" s="257" t="s">
        <v>460</v>
      </c>
      <c r="AD13" s="260"/>
      <c r="AE13" s="260"/>
      <c r="AF13" s="350" t="s">
        <v>461</v>
      </c>
      <c r="AG13" s="258" t="s">
        <v>462</v>
      </c>
      <c r="AH13" s="347" t="s">
        <v>935</v>
      </c>
      <c r="AI13" s="276">
        <v>1706</v>
      </c>
      <c r="AJ13" s="339"/>
    </row>
    <row r="14" spans="1:37" ht="64.5" thickBot="1" x14ac:dyDescent="0.3">
      <c r="A14" s="339"/>
      <c r="B14" s="350" t="s">
        <v>936</v>
      </c>
      <c r="C14" s="276">
        <v>1107</v>
      </c>
      <c r="D14" s="349" t="s">
        <v>937</v>
      </c>
      <c r="E14" s="257" t="s">
        <v>463</v>
      </c>
      <c r="F14" s="353" t="s">
        <v>938</v>
      </c>
      <c r="G14" s="259" t="s">
        <v>840</v>
      </c>
      <c r="H14" s="350" t="s">
        <v>939</v>
      </c>
      <c r="I14" s="258" t="s">
        <v>464</v>
      </c>
      <c r="J14" s="350" t="s">
        <v>940</v>
      </c>
      <c r="K14" s="257" t="s">
        <v>465</v>
      </c>
      <c r="L14" s="349" t="s">
        <v>466</v>
      </c>
      <c r="M14" s="257" t="s">
        <v>467</v>
      </c>
      <c r="N14" s="260"/>
      <c r="O14" s="260"/>
      <c r="P14" s="350" t="s">
        <v>941</v>
      </c>
      <c r="Q14" s="257" t="s">
        <v>468</v>
      </c>
      <c r="R14" s="353" t="s">
        <v>1260</v>
      </c>
      <c r="S14" s="261" t="s">
        <v>1261</v>
      </c>
      <c r="T14" s="350" t="s">
        <v>942</v>
      </c>
      <c r="U14" s="257" t="s">
        <v>469</v>
      </c>
      <c r="V14" s="349" t="s">
        <v>943</v>
      </c>
      <c r="W14" s="258" t="s">
        <v>470</v>
      </c>
      <c r="X14" s="350" t="s">
        <v>944</v>
      </c>
      <c r="Y14" s="258" t="s">
        <v>471</v>
      </c>
      <c r="Z14" s="350" t="s">
        <v>1262</v>
      </c>
      <c r="AA14" s="258" t="s">
        <v>1263</v>
      </c>
      <c r="AB14" s="350" t="s">
        <v>945</v>
      </c>
      <c r="AC14" s="257" t="s">
        <v>472</v>
      </c>
      <c r="AD14" s="260"/>
      <c r="AE14" s="260"/>
      <c r="AF14" s="350" t="s">
        <v>473</v>
      </c>
      <c r="AG14" s="258" t="s">
        <v>474</v>
      </c>
      <c r="AH14" s="347" t="s">
        <v>946</v>
      </c>
      <c r="AI14" s="281">
        <v>1707</v>
      </c>
      <c r="AJ14" s="339"/>
    </row>
    <row r="15" spans="1:37" ht="64.5" thickBot="1" x14ac:dyDescent="0.3">
      <c r="A15" s="339"/>
      <c r="B15" s="351" t="s">
        <v>947</v>
      </c>
      <c r="C15" s="276">
        <v>1108</v>
      </c>
      <c r="D15" s="349" t="s">
        <v>780</v>
      </c>
      <c r="E15" s="257" t="s">
        <v>475</v>
      </c>
      <c r="F15" s="260"/>
      <c r="G15" s="260"/>
      <c r="H15" s="350" t="s">
        <v>948</v>
      </c>
      <c r="I15" s="258" t="s">
        <v>476</v>
      </c>
      <c r="J15" s="350" t="s">
        <v>949</v>
      </c>
      <c r="K15" s="257" t="s">
        <v>477</v>
      </c>
      <c r="L15" s="349" t="s">
        <v>478</v>
      </c>
      <c r="M15" s="257" t="s">
        <v>479</v>
      </c>
      <c r="N15" s="260"/>
      <c r="O15" s="260"/>
      <c r="P15" s="350" t="s">
        <v>950</v>
      </c>
      <c r="Q15" s="257" t="s">
        <v>480</v>
      </c>
      <c r="R15" s="273"/>
      <c r="S15" s="277"/>
      <c r="T15" s="350" t="s">
        <v>951</v>
      </c>
      <c r="U15" s="257" t="s">
        <v>481</v>
      </c>
      <c r="V15" s="349" t="s">
        <v>952</v>
      </c>
      <c r="W15" s="258" t="s">
        <v>482</v>
      </c>
      <c r="X15" s="350" t="s">
        <v>953</v>
      </c>
      <c r="Y15" s="258" t="s">
        <v>483</v>
      </c>
      <c r="Z15" s="350" t="s">
        <v>1264</v>
      </c>
      <c r="AA15" s="258" t="s">
        <v>1265</v>
      </c>
      <c r="AB15" s="350" t="s">
        <v>954</v>
      </c>
      <c r="AC15" s="257" t="s">
        <v>484</v>
      </c>
      <c r="AD15" s="260"/>
      <c r="AE15" s="260"/>
      <c r="AF15" s="350" t="s">
        <v>485</v>
      </c>
      <c r="AG15" s="258" t="s">
        <v>486</v>
      </c>
      <c r="AH15" s="347" t="s">
        <v>955</v>
      </c>
      <c r="AI15" s="257" t="s">
        <v>846</v>
      </c>
      <c r="AJ15" s="339"/>
    </row>
    <row r="16" spans="1:37" ht="64.5" thickBot="1" x14ac:dyDescent="0.3">
      <c r="A16" s="339"/>
      <c r="B16" s="350" t="s">
        <v>956</v>
      </c>
      <c r="C16" s="276">
        <v>1109</v>
      </c>
      <c r="D16" s="349" t="s">
        <v>957</v>
      </c>
      <c r="E16" s="257" t="s">
        <v>487</v>
      </c>
      <c r="F16" s="260"/>
      <c r="G16" s="260"/>
      <c r="H16" s="350" t="s">
        <v>958</v>
      </c>
      <c r="I16" s="258" t="s">
        <v>488</v>
      </c>
      <c r="J16" s="350" t="s">
        <v>959</v>
      </c>
      <c r="K16" s="257" t="s">
        <v>489</v>
      </c>
      <c r="L16" s="349" t="s">
        <v>490</v>
      </c>
      <c r="M16" s="257" t="s">
        <v>491</v>
      </c>
      <c r="N16" s="260"/>
      <c r="O16" s="260"/>
      <c r="P16" s="350" t="s">
        <v>960</v>
      </c>
      <c r="Q16" s="255" t="s">
        <v>492</v>
      </c>
      <c r="R16" s="273"/>
      <c r="S16" s="277"/>
      <c r="T16" s="350" t="s">
        <v>961</v>
      </c>
      <c r="U16" s="257" t="s">
        <v>493</v>
      </c>
      <c r="V16" s="352" t="s">
        <v>962</v>
      </c>
      <c r="W16" s="261" t="s">
        <v>494</v>
      </c>
      <c r="X16" s="350" t="s">
        <v>963</v>
      </c>
      <c r="Y16" s="258" t="s">
        <v>495</v>
      </c>
      <c r="Z16" s="353" t="s">
        <v>1266</v>
      </c>
      <c r="AA16" s="261" t="s">
        <v>1267</v>
      </c>
      <c r="AB16" s="350" t="s">
        <v>964</v>
      </c>
      <c r="AC16" s="257" t="s">
        <v>496</v>
      </c>
      <c r="AD16" s="260"/>
      <c r="AE16" s="260"/>
      <c r="AF16" s="350" t="s">
        <v>965</v>
      </c>
      <c r="AG16" s="258" t="s">
        <v>497</v>
      </c>
      <c r="AH16" s="347" t="s">
        <v>966</v>
      </c>
      <c r="AI16" s="257" t="s">
        <v>847</v>
      </c>
      <c r="AJ16" s="339"/>
    </row>
    <row r="17" spans="1:36" ht="51.75" thickBot="1" x14ac:dyDescent="0.3">
      <c r="A17" s="339"/>
      <c r="B17" s="350" t="s">
        <v>967</v>
      </c>
      <c r="C17" s="276">
        <v>1110</v>
      </c>
      <c r="D17" s="349" t="s">
        <v>968</v>
      </c>
      <c r="E17" s="257" t="s">
        <v>498</v>
      </c>
      <c r="F17" s="260"/>
      <c r="G17" s="260"/>
      <c r="H17" s="350" t="s">
        <v>969</v>
      </c>
      <c r="I17" s="258" t="s">
        <v>499</v>
      </c>
      <c r="J17" s="350" t="s">
        <v>970</v>
      </c>
      <c r="K17" s="257" t="s">
        <v>500</v>
      </c>
      <c r="L17" s="349" t="s">
        <v>501</v>
      </c>
      <c r="M17" s="257" t="s">
        <v>502</v>
      </c>
      <c r="N17" s="260"/>
      <c r="O17" s="260"/>
      <c r="P17" s="350" t="s">
        <v>971</v>
      </c>
      <c r="Q17" s="257" t="s">
        <v>503</v>
      </c>
      <c r="R17" s="260"/>
      <c r="S17" s="260"/>
      <c r="T17" s="350" t="s">
        <v>972</v>
      </c>
      <c r="U17" s="257" t="s">
        <v>504</v>
      </c>
      <c r="V17" s="273"/>
      <c r="W17" s="277"/>
      <c r="X17" s="350" t="s">
        <v>973</v>
      </c>
      <c r="Y17" s="257" t="s">
        <v>505</v>
      </c>
      <c r="Z17" s="260"/>
      <c r="AA17" s="277"/>
      <c r="AB17" s="350" t="s">
        <v>974</v>
      </c>
      <c r="AC17" s="257" t="s">
        <v>506</v>
      </c>
      <c r="AD17" s="260"/>
      <c r="AE17" s="260"/>
      <c r="AF17" s="350" t="s">
        <v>975</v>
      </c>
      <c r="AG17" s="258" t="s">
        <v>507</v>
      </c>
      <c r="AH17" s="347" t="s">
        <v>851</v>
      </c>
      <c r="AI17" s="281">
        <v>1710</v>
      </c>
      <c r="AJ17" s="339"/>
    </row>
    <row r="18" spans="1:36" ht="77.25" thickBot="1" x14ac:dyDescent="0.3">
      <c r="A18" s="339"/>
      <c r="B18" s="350" t="s">
        <v>976</v>
      </c>
      <c r="C18" s="276">
        <v>1111</v>
      </c>
      <c r="D18" s="349" t="s">
        <v>508</v>
      </c>
      <c r="E18" s="257" t="s">
        <v>509</v>
      </c>
      <c r="F18" s="260"/>
      <c r="G18" s="260"/>
      <c r="H18" s="350" t="s">
        <v>977</v>
      </c>
      <c r="I18" s="258" t="s">
        <v>510</v>
      </c>
      <c r="J18" s="350" t="s">
        <v>978</v>
      </c>
      <c r="K18" s="257" t="s">
        <v>511</v>
      </c>
      <c r="L18" s="349" t="s">
        <v>512</v>
      </c>
      <c r="M18" s="257" t="s">
        <v>513</v>
      </c>
      <c r="N18" s="260"/>
      <c r="O18" s="260"/>
      <c r="P18" s="350" t="s">
        <v>979</v>
      </c>
      <c r="Q18" s="257" t="s">
        <v>514</v>
      </c>
      <c r="R18" s="260"/>
      <c r="S18" s="260"/>
      <c r="T18" s="350" t="s">
        <v>980</v>
      </c>
      <c r="U18" s="257" t="s">
        <v>515</v>
      </c>
      <c r="V18" s="273"/>
      <c r="W18" s="277"/>
      <c r="X18" s="350" t="s">
        <v>981</v>
      </c>
      <c r="Y18" s="257" t="s">
        <v>516</v>
      </c>
      <c r="Z18" s="260"/>
      <c r="AA18" s="277"/>
      <c r="AB18" s="350" t="s">
        <v>982</v>
      </c>
      <c r="AC18" s="257" t="s">
        <v>517</v>
      </c>
      <c r="AD18" s="260"/>
      <c r="AE18" s="260"/>
      <c r="AF18" s="350" t="s">
        <v>983</v>
      </c>
      <c r="AG18" s="258" t="s">
        <v>518</v>
      </c>
      <c r="AH18" s="347" t="s">
        <v>984</v>
      </c>
      <c r="AI18" s="276">
        <v>1711</v>
      </c>
      <c r="AJ18" s="339"/>
    </row>
    <row r="19" spans="1:36" ht="51.75" thickBot="1" x14ac:dyDescent="0.3">
      <c r="A19" s="339"/>
      <c r="B19" s="350" t="s">
        <v>985</v>
      </c>
      <c r="C19" s="276">
        <v>1112</v>
      </c>
      <c r="D19" s="352" t="s">
        <v>537</v>
      </c>
      <c r="E19" s="259" t="s">
        <v>538</v>
      </c>
      <c r="F19" s="260"/>
      <c r="G19" s="260"/>
      <c r="H19" s="350" t="s">
        <v>986</v>
      </c>
      <c r="I19" s="258" t="s">
        <v>519</v>
      </c>
      <c r="J19" s="350" t="s">
        <v>987</v>
      </c>
      <c r="K19" s="257" t="s">
        <v>520</v>
      </c>
      <c r="L19" s="349" t="s">
        <v>521</v>
      </c>
      <c r="M19" s="257" t="s">
        <v>522</v>
      </c>
      <c r="N19" s="260"/>
      <c r="O19" s="260"/>
      <c r="P19" s="350" t="s">
        <v>988</v>
      </c>
      <c r="Q19" s="257" t="s">
        <v>523</v>
      </c>
      <c r="R19" s="260"/>
      <c r="S19" s="260"/>
      <c r="T19" s="350" t="s">
        <v>989</v>
      </c>
      <c r="U19" s="257" t="s">
        <v>524</v>
      </c>
      <c r="V19" s="273"/>
      <c r="W19" s="277"/>
      <c r="X19" s="350" t="s">
        <v>990</v>
      </c>
      <c r="Y19" s="257" t="s">
        <v>525</v>
      </c>
      <c r="Z19" s="260"/>
      <c r="AA19" s="277"/>
      <c r="AB19" s="350" t="s">
        <v>991</v>
      </c>
      <c r="AC19" s="257" t="s">
        <v>526</v>
      </c>
      <c r="AD19" s="260"/>
      <c r="AE19" s="260"/>
      <c r="AF19" s="350" t="s">
        <v>992</v>
      </c>
      <c r="AG19" s="258" t="s">
        <v>527</v>
      </c>
      <c r="AH19" s="347" t="s">
        <v>852</v>
      </c>
      <c r="AI19" s="281">
        <v>1712</v>
      </c>
      <c r="AJ19" s="339"/>
    </row>
    <row r="20" spans="1:36" ht="64.5" thickBot="1" x14ac:dyDescent="0.3">
      <c r="A20" s="339"/>
      <c r="B20" s="351" t="s">
        <v>993</v>
      </c>
      <c r="C20" s="276">
        <v>1113</v>
      </c>
      <c r="D20" s="273"/>
      <c r="E20" s="277"/>
      <c r="F20" s="260"/>
      <c r="G20" s="260"/>
      <c r="H20" s="350" t="s">
        <v>994</v>
      </c>
      <c r="I20" s="258" t="s">
        <v>528</v>
      </c>
      <c r="J20" s="350" t="s">
        <v>995</v>
      </c>
      <c r="K20" s="257" t="s">
        <v>529</v>
      </c>
      <c r="L20" s="349" t="s">
        <v>530</v>
      </c>
      <c r="M20" s="257" t="s">
        <v>531</v>
      </c>
      <c r="N20" s="260"/>
      <c r="O20" s="260"/>
      <c r="P20" s="350" t="s">
        <v>996</v>
      </c>
      <c r="Q20" s="255" t="s">
        <v>532</v>
      </c>
      <c r="R20" s="260"/>
      <c r="S20" s="260"/>
      <c r="T20" s="350" t="s">
        <v>997</v>
      </c>
      <c r="U20" s="257" t="s">
        <v>533</v>
      </c>
      <c r="V20" s="273"/>
      <c r="W20" s="277"/>
      <c r="X20" s="350" t="s">
        <v>998</v>
      </c>
      <c r="Y20" s="257" t="s">
        <v>534</v>
      </c>
      <c r="Z20" s="260"/>
      <c r="AA20" s="277"/>
      <c r="AB20" s="350" t="s">
        <v>999</v>
      </c>
      <c r="AC20" s="257" t="s">
        <v>535</v>
      </c>
      <c r="AD20" s="260"/>
      <c r="AE20" s="260"/>
      <c r="AF20" s="350" t="s">
        <v>1000</v>
      </c>
      <c r="AG20" s="258" t="s">
        <v>536</v>
      </c>
      <c r="AH20" s="347" t="s">
        <v>1001</v>
      </c>
      <c r="AI20" s="257" t="s">
        <v>848</v>
      </c>
      <c r="AJ20" s="339"/>
    </row>
    <row r="21" spans="1:36" ht="77.25" thickBot="1" x14ac:dyDescent="0.3">
      <c r="A21" s="339"/>
      <c r="B21" s="350" t="s">
        <v>1002</v>
      </c>
      <c r="C21" s="276">
        <v>1114</v>
      </c>
      <c r="D21" s="273"/>
      <c r="E21" s="277"/>
      <c r="F21" s="260"/>
      <c r="G21" s="260"/>
      <c r="H21" s="353" t="s">
        <v>1003</v>
      </c>
      <c r="I21" s="261" t="s">
        <v>539</v>
      </c>
      <c r="J21" s="350" t="s">
        <v>1004</v>
      </c>
      <c r="K21" s="257" t="s">
        <v>540</v>
      </c>
      <c r="L21" s="349" t="s">
        <v>541</v>
      </c>
      <c r="M21" s="257" t="s">
        <v>542</v>
      </c>
      <c r="N21" s="260"/>
      <c r="O21" s="260"/>
      <c r="P21" s="350" t="s">
        <v>1005</v>
      </c>
      <c r="Q21" s="257" t="s">
        <v>543</v>
      </c>
      <c r="R21" s="260"/>
      <c r="S21" s="260"/>
      <c r="T21" s="350" t="s">
        <v>1006</v>
      </c>
      <c r="U21" s="257" t="s">
        <v>544</v>
      </c>
      <c r="V21" s="273"/>
      <c r="W21" s="277"/>
      <c r="X21" s="350" t="s">
        <v>1007</v>
      </c>
      <c r="Y21" s="257" t="s">
        <v>545</v>
      </c>
      <c r="Z21" s="260"/>
      <c r="AA21" s="277"/>
      <c r="AB21" s="350" t="s">
        <v>1008</v>
      </c>
      <c r="AC21" s="257" t="s">
        <v>546</v>
      </c>
      <c r="AD21" s="260"/>
      <c r="AE21" s="260"/>
      <c r="AF21" s="350" t="s">
        <v>1009</v>
      </c>
      <c r="AG21" s="258" t="s">
        <v>547</v>
      </c>
      <c r="AH21" s="347" t="s">
        <v>1010</v>
      </c>
      <c r="AI21" s="257" t="s">
        <v>849</v>
      </c>
      <c r="AJ21" s="339"/>
    </row>
    <row r="22" spans="1:36" ht="64.5" thickBot="1" x14ac:dyDescent="0.3">
      <c r="A22" s="339"/>
      <c r="B22" s="350" t="s">
        <v>1011</v>
      </c>
      <c r="C22" s="276">
        <v>1115</v>
      </c>
      <c r="D22" s="273"/>
      <c r="E22" s="277"/>
      <c r="F22" s="260"/>
      <c r="G22" s="260"/>
      <c r="H22" s="273"/>
      <c r="I22" s="277"/>
      <c r="J22" s="350" t="s">
        <v>1012</v>
      </c>
      <c r="K22" s="257" t="s">
        <v>548</v>
      </c>
      <c r="L22" s="349" t="s">
        <v>549</v>
      </c>
      <c r="M22" s="257" t="s">
        <v>550</v>
      </c>
      <c r="N22" s="260"/>
      <c r="O22" s="260"/>
      <c r="P22" s="350" t="s">
        <v>1013</v>
      </c>
      <c r="Q22" s="257" t="s">
        <v>551</v>
      </c>
      <c r="R22" s="260"/>
      <c r="S22" s="260"/>
      <c r="T22" s="350" t="s">
        <v>1268</v>
      </c>
      <c r="U22" s="257" t="s">
        <v>1269</v>
      </c>
      <c r="V22" s="273"/>
      <c r="W22" s="277"/>
      <c r="X22" s="350" t="s">
        <v>1014</v>
      </c>
      <c r="Y22" s="257" t="s">
        <v>552</v>
      </c>
      <c r="Z22" s="260"/>
      <c r="AA22" s="277"/>
      <c r="AB22" s="350" t="s">
        <v>1015</v>
      </c>
      <c r="AC22" s="257" t="s">
        <v>553</v>
      </c>
      <c r="AD22" s="260"/>
      <c r="AE22" s="260"/>
      <c r="AF22" s="350" t="s">
        <v>737</v>
      </c>
      <c r="AG22" s="258" t="s">
        <v>741</v>
      </c>
      <c r="AH22" s="347" t="s">
        <v>1016</v>
      </c>
      <c r="AI22" s="281">
        <v>1715</v>
      </c>
      <c r="AJ22" s="339"/>
    </row>
    <row r="23" spans="1:36" ht="51.75" thickBot="1" x14ac:dyDescent="0.3">
      <c r="A23" s="339"/>
      <c r="B23" s="351" t="s">
        <v>1017</v>
      </c>
      <c r="C23" s="276">
        <v>1116</v>
      </c>
      <c r="D23" s="273"/>
      <c r="E23" s="277"/>
      <c r="F23" s="260"/>
      <c r="G23" s="260"/>
      <c r="H23" s="273"/>
      <c r="I23" s="277"/>
      <c r="J23" s="350" t="s">
        <v>1018</v>
      </c>
      <c r="K23" s="257" t="s">
        <v>554</v>
      </c>
      <c r="L23" s="349" t="s">
        <v>555</v>
      </c>
      <c r="M23" s="257" t="s">
        <v>556</v>
      </c>
      <c r="N23" s="260"/>
      <c r="O23" s="260"/>
      <c r="P23" s="350" t="s">
        <v>1019</v>
      </c>
      <c r="Q23" s="257" t="s">
        <v>557</v>
      </c>
      <c r="R23" s="260"/>
      <c r="S23" s="260"/>
      <c r="T23" s="350" t="s">
        <v>1270</v>
      </c>
      <c r="U23" s="257" t="s">
        <v>1271</v>
      </c>
      <c r="V23" s="273"/>
      <c r="W23" s="277"/>
      <c r="X23" s="350" t="s">
        <v>1020</v>
      </c>
      <c r="Y23" s="257" t="s">
        <v>558</v>
      </c>
      <c r="Z23" s="260"/>
      <c r="AA23" s="277"/>
      <c r="AB23" s="350" t="s">
        <v>1021</v>
      </c>
      <c r="AC23" s="257" t="s">
        <v>559</v>
      </c>
      <c r="AD23" s="260"/>
      <c r="AE23" s="260"/>
      <c r="AF23" s="350" t="s">
        <v>738</v>
      </c>
      <c r="AG23" s="258" t="s">
        <v>742</v>
      </c>
      <c r="AH23" s="347" t="s">
        <v>1022</v>
      </c>
      <c r="AI23" s="276">
        <v>1716</v>
      </c>
      <c r="AJ23" s="339"/>
    </row>
    <row r="24" spans="1:36" ht="42.75" customHeight="1" thickBot="1" x14ac:dyDescent="0.3">
      <c r="A24" s="339"/>
      <c r="B24" s="350" t="s">
        <v>1023</v>
      </c>
      <c r="C24" s="276">
        <v>1117</v>
      </c>
      <c r="D24" s="273"/>
      <c r="E24" s="277"/>
      <c r="F24" s="260"/>
      <c r="G24" s="260"/>
      <c r="H24" s="260"/>
      <c r="I24" s="260"/>
      <c r="J24" s="350" t="s">
        <v>1024</v>
      </c>
      <c r="K24" s="257" t="s">
        <v>560</v>
      </c>
      <c r="L24" s="349" t="s">
        <v>561</v>
      </c>
      <c r="M24" s="257" t="s">
        <v>562</v>
      </c>
      <c r="N24" s="260"/>
      <c r="O24" s="260"/>
      <c r="P24" s="350" t="s">
        <v>1025</v>
      </c>
      <c r="Q24" s="255" t="s">
        <v>563</v>
      </c>
      <c r="R24" s="260"/>
      <c r="S24" s="260"/>
      <c r="T24" s="350" t="s">
        <v>1272</v>
      </c>
      <c r="U24" s="257" t="s">
        <v>1273</v>
      </c>
      <c r="V24" s="273"/>
      <c r="W24" s="277"/>
      <c r="X24" s="350" t="s">
        <v>1026</v>
      </c>
      <c r="Y24" s="257" t="s">
        <v>564</v>
      </c>
      <c r="Z24" s="260"/>
      <c r="AA24" s="277"/>
      <c r="AB24" s="350" t="s">
        <v>1027</v>
      </c>
      <c r="AC24" s="257" t="s">
        <v>565</v>
      </c>
      <c r="AD24" s="260"/>
      <c r="AE24" s="260"/>
      <c r="AF24" s="350" t="s">
        <v>739</v>
      </c>
      <c r="AG24" s="258" t="s">
        <v>743</v>
      </c>
      <c r="AH24" s="347" t="s">
        <v>1028</v>
      </c>
      <c r="AI24" s="281">
        <v>1717</v>
      </c>
      <c r="AJ24" s="339"/>
    </row>
    <row r="25" spans="1:36" ht="64.5" thickBot="1" x14ac:dyDescent="0.3">
      <c r="A25" s="339"/>
      <c r="B25" s="351" t="s">
        <v>1029</v>
      </c>
      <c r="C25" s="276">
        <v>1118</v>
      </c>
      <c r="D25" s="273"/>
      <c r="E25" s="277"/>
      <c r="F25" s="260"/>
      <c r="G25" s="260"/>
      <c r="H25" s="260"/>
      <c r="I25" s="260"/>
      <c r="J25" s="350" t="s">
        <v>1030</v>
      </c>
      <c r="K25" s="257" t="s">
        <v>566</v>
      </c>
      <c r="L25" s="349" t="s">
        <v>567</v>
      </c>
      <c r="M25" s="257" t="s">
        <v>568</v>
      </c>
      <c r="N25" s="260"/>
      <c r="O25" s="260"/>
      <c r="P25" s="350" t="s">
        <v>1031</v>
      </c>
      <c r="Q25" s="257" t="s">
        <v>569</v>
      </c>
      <c r="R25" s="260"/>
      <c r="S25" s="260"/>
      <c r="T25" s="350" t="s">
        <v>1274</v>
      </c>
      <c r="U25" s="257" t="s">
        <v>1275</v>
      </c>
      <c r="V25" s="260"/>
      <c r="W25" s="260"/>
      <c r="X25" s="350" t="s">
        <v>1032</v>
      </c>
      <c r="Y25" s="257" t="s">
        <v>570</v>
      </c>
      <c r="Z25" s="260"/>
      <c r="AA25" s="260"/>
      <c r="AB25" s="350" t="s">
        <v>1033</v>
      </c>
      <c r="AC25" s="257" t="s">
        <v>571</v>
      </c>
      <c r="AD25" s="260"/>
      <c r="AE25" s="260"/>
      <c r="AF25" s="354" t="s">
        <v>740</v>
      </c>
      <c r="AG25" s="279" t="s">
        <v>744</v>
      </c>
      <c r="AH25" s="347" t="s">
        <v>1034</v>
      </c>
      <c r="AI25" s="257" t="s">
        <v>850</v>
      </c>
      <c r="AJ25" s="339"/>
    </row>
    <row r="26" spans="1:36" ht="62.25" customHeight="1" thickBot="1" x14ac:dyDescent="0.3">
      <c r="A26" s="339"/>
      <c r="B26" s="350" t="s">
        <v>1035</v>
      </c>
      <c r="C26" s="276">
        <v>1119</v>
      </c>
      <c r="D26" s="273"/>
      <c r="E26" s="277"/>
      <c r="F26" s="260"/>
      <c r="G26" s="260"/>
      <c r="H26" s="260"/>
      <c r="I26" s="260"/>
      <c r="J26" s="350" t="s">
        <v>1036</v>
      </c>
      <c r="K26" s="257" t="s">
        <v>572</v>
      </c>
      <c r="L26" s="349" t="s">
        <v>573</v>
      </c>
      <c r="M26" s="257" t="s">
        <v>574</v>
      </c>
      <c r="N26" s="260"/>
      <c r="O26" s="260"/>
      <c r="P26" s="350" t="s">
        <v>1037</v>
      </c>
      <c r="Q26" s="257" t="s">
        <v>575</v>
      </c>
      <c r="R26" s="260"/>
      <c r="S26" s="260"/>
      <c r="T26" s="350" t="s">
        <v>1276</v>
      </c>
      <c r="U26" s="257" t="s">
        <v>1277</v>
      </c>
      <c r="V26" s="260"/>
      <c r="W26" s="260"/>
      <c r="X26" s="353" t="s">
        <v>1038</v>
      </c>
      <c r="Y26" s="259" t="s">
        <v>576</v>
      </c>
      <c r="Z26" s="260"/>
      <c r="AA26" s="260"/>
      <c r="AB26" s="350" t="s">
        <v>1039</v>
      </c>
      <c r="AC26" s="257" t="s">
        <v>577</v>
      </c>
      <c r="AD26" s="260"/>
      <c r="AE26" s="260"/>
      <c r="AF26" s="353" t="s">
        <v>1040</v>
      </c>
      <c r="AG26" s="261" t="s">
        <v>778</v>
      </c>
      <c r="AH26" s="347" t="s">
        <v>1278</v>
      </c>
      <c r="AI26" s="257" t="s">
        <v>1279</v>
      </c>
      <c r="AJ26" s="339"/>
    </row>
    <row r="27" spans="1:36" ht="51.75" thickBot="1" x14ac:dyDescent="0.3">
      <c r="A27" s="339"/>
      <c r="B27" s="350" t="s">
        <v>1041</v>
      </c>
      <c r="C27" s="276">
        <v>1120</v>
      </c>
      <c r="D27" s="273"/>
      <c r="E27" s="277"/>
      <c r="F27" s="260"/>
      <c r="G27" s="260"/>
      <c r="H27" s="260"/>
      <c r="I27" s="260"/>
      <c r="J27" s="350" t="s">
        <v>1042</v>
      </c>
      <c r="K27" s="257" t="s">
        <v>578</v>
      </c>
      <c r="L27" s="349" t="s">
        <v>579</v>
      </c>
      <c r="M27" s="257" t="s">
        <v>580</v>
      </c>
      <c r="N27" s="260"/>
      <c r="O27" s="260"/>
      <c r="P27" s="350" t="s">
        <v>1043</v>
      </c>
      <c r="Q27" s="257" t="s">
        <v>581</v>
      </c>
      <c r="R27" s="260"/>
      <c r="S27" s="260"/>
      <c r="T27" s="350" t="s">
        <v>1280</v>
      </c>
      <c r="U27" s="257" t="s">
        <v>1281</v>
      </c>
      <c r="V27" s="260"/>
      <c r="W27" s="260"/>
      <c r="X27" s="273"/>
      <c r="Y27" s="277"/>
      <c r="Z27" s="260"/>
      <c r="AA27" s="260"/>
      <c r="AB27" s="350" t="s">
        <v>1044</v>
      </c>
      <c r="AC27" s="257" t="s">
        <v>582</v>
      </c>
      <c r="AD27" s="260"/>
      <c r="AE27" s="260"/>
      <c r="AF27" s="260"/>
      <c r="AG27" s="260"/>
      <c r="AH27" s="347" t="s">
        <v>1296</v>
      </c>
      <c r="AI27" s="259" t="s">
        <v>1314</v>
      </c>
      <c r="AJ27" s="339"/>
    </row>
    <row r="28" spans="1:36" ht="49.5" customHeight="1" x14ac:dyDescent="0.25">
      <c r="A28" s="339"/>
      <c r="B28" s="351" t="s">
        <v>790</v>
      </c>
      <c r="C28" s="276">
        <v>1121</v>
      </c>
      <c r="D28" s="260"/>
      <c r="E28" s="260"/>
      <c r="F28" s="260"/>
      <c r="G28" s="260"/>
      <c r="H28" s="260"/>
      <c r="I28" s="260"/>
      <c r="J28" s="350" t="s">
        <v>1045</v>
      </c>
      <c r="K28" s="257" t="s">
        <v>583</v>
      </c>
      <c r="L28" s="349" t="s">
        <v>584</v>
      </c>
      <c r="M28" s="257" t="s">
        <v>585</v>
      </c>
      <c r="N28" s="260"/>
      <c r="O28" s="260"/>
      <c r="P28" s="350" t="s">
        <v>1046</v>
      </c>
      <c r="Q28" s="255" t="s">
        <v>586</v>
      </c>
      <c r="R28" s="260"/>
      <c r="S28" s="260"/>
      <c r="T28" s="350" t="s">
        <v>1282</v>
      </c>
      <c r="U28" s="257" t="s">
        <v>1283</v>
      </c>
      <c r="V28" s="260"/>
      <c r="W28" s="260"/>
      <c r="X28" s="273"/>
      <c r="Y28" s="277"/>
      <c r="Z28" s="260"/>
      <c r="AA28" s="260"/>
      <c r="AB28" s="350" t="s">
        <v>1047</v>
      </c>
      <c r="AC28" s="257" t="s">
        <v>587</v>
      </c>
      <c r="AD28" s="260"/>
      <c r="AE28" s="260"/>
      <c r="AF28" s="260"/>
      <c r="AG28" s="260"/>
      <c r="AH28" s="273"/>
      <c r="AI28" s="277"/>
      <c r="AJ28" s="339"/>
    </row>
    <row r="29" spans="1:36" ht="35.25" customHeight="1" x14ac:dyDescent="0.25">
      <c r="A29" s="339"/>
      <c r="B29" s="350" t="s">
        <v>1048</v>
      </c>
      <c r="C29" s="276">
        <v>1122</v>
      </c>
      <c r="D29" s="260"/>
      <c r="E29" s="260"/>
      <c r="F29" s="260"/>
      <c r="G29" s="260"/>
      <c r="H29" s="260"/>
      <c r="I29" s="260"/>
      <c r="J29" s="350" t="s">
        <v>1049</v>
      </c>
      <c r="K29" s="257" t="s">
        <v>588</v>
      </c>
      <c r="L29" s="349" t="s">
        <v>589</v>
      </c>
      <c r="M29" s="257" t="s">
        <v>590</v>
      </c>
      <c r="N29" s="260"/>
      <c r="O29" s="260"/>
      <c r="P29" s="350" t="s">
        <v>1050</v>
      </c>
      <c r="Q29" s="257" t="s">
        <v>591</v>
      </c>
      <c r="R29" s="260"/>
      <c r="S29" s="260"/>
      <c r="T29" s="350" t="s">
        <v>1284</v>
      </c>
      <c r="U29" s="257" t="s">
        <v>1285</v>
      </c>
      <c r="V29" s="260"/>
      <c r="W29" s="260"/>
      <c r="X29" s="273"/>
      <c r="Y29" s="277"/>
      <c r="Z29" s="260"/>
      <c r="AA29" s="260"/>
      <c r="AB29" s="350" t="s">
        <v>1051</v>
      </c>
      <c r="AC29" s="257" t="s">
        <v>592</v>
      </c>
      <c r="AD29" s="260"/>
      <c r="AE29" s="260"/>
      <c r="AF29" s="260"/>
      <c r="AG29" s="260"/>
      <c r="AH29" s="273"/>
      <c r="AI29" s="277"/>
      <c r="AJ29" s="339"/>
    </row>
    <row r="30" spans="1:36" ht="51" x14ac:dyDescent="0.25">
      <c r="A30" s="339"/>
      <c r="B30" s="350" t="s">
        <v>1052</v>
      </c>
      <c r="C30" s="276">
        <v>1123</v>
      </c>
      <c r="D30" s="260"/>
      <c r="E30" s="260"/>
      <c r="F30" s="260"/>
      <c r="G30" s="260"/>
      <c r="H30" s="260"/>
      <c r="I30" s="260"/>
      <c r="J30" s="350" t="s">
        <v>1053</v>
      </c>
      <c r="K30" s="257" t="s">
        <v>593</v>
      </c>
      <c r="L30" s="349" t="s">
        <v>594</v>
      </c>
      <c r="M30" s="257" t="s">
        <v>595</v>
      </c>
      <c r="N30" s="260"/>
      <c r="O30" s="260"/>
      <c r="P30" s="350" t="s">
        <v>1054</v>
      </c>
      <c r="Q30" s="257" t="s">
        <v>596</v>
      </c>
      <c r="R30" s="260"/>
      <c r="S30" s="260"/>
      <c r="T30" s="350" t="s">
        <v>1286</v>
      </c>
      <c r="U30" s="257" t="s">
        <v>1287</v>
      </c>
      <c r="V30" s="260"/>
      <c r="W30" s="260"/>
      <c r="X30" s="273"/>
      <c r="Y30" s="277"/>
      <c r="Z30" s="260"/>
      <c r="AA30" s="260"/>
      <c r="AB30" s="350" t="s">
        <v>1055</v>
      </c>
      <c r="AC30" s="257" t="s">
        <v>597</v>
      </c>
      <c r="AD30" s="260"/>
      <c r="AE30" s="260"/>
      <c r="AF30" s="260"/>
      <c r="AG30" s="260"/>
      <c r="AH30" s="273"/>
      <c r="AI30" s="277"/>
      <c r="AJ30" s="339"/>
    </row>
    <row r="31" spans="1:36" ht="39" thickBot="1" x14ac:dyDescent="0.3">
      <c r="A31" s="339"/>
      <c r="B31" s="351" t="s">
        <v>359</v>
      </c>
      <c r="C31" s="276">
        <v>1124</v>
      </c>
      <c r="D31" s="260"/>
      <c r="E31" s="260"/>
      <c r="F31" s="260"/>
      <c r="G31" s="260"/>
      <c r="H31" s="260"/>
      <c r="I31" s="260"/>
      <c r="J31" s="350" t="s">
        <v>1056</v>
      </c>
      <c r="K31" s="257" t="s">
        <v>598</v>
      </c>
      <c r="L31" s="349" t="s">
        <v>599</v>
      </c>
      <c r="M31" s="257" t="s">
        <v>600</v>
      </c>
      <c r="N31" s="260"/>
      <c r="O31" s="260"/>
      <c r="P31" s="350" t="s">
        <v>1057</v>
      </c>
      <c r="Q31" s="257" t="s">
        <v>601</v>
      </c>
      <c r="R31" s="260"/>
      <c r="S31" s="260"/>
      <c r="T31" s="353" t="s">
        <v>1288</v>
      </c>
      <c r="U31" s="259" t="s">
        <v>1289</v>
      </c>
      <c r="V31" s="260"/>
      <c r="W31" s="260"/>
      <c r="X31" s="273"/>
      <c r="Y31" s="277"/>
      <c r="Z31" s="260"/>
      <c r="AA31" s="260"/>
      <c r="AB31" s="350" t="s">
        <v>1058</v>
      </c>
      <c r="AC31" s="257" t="s">
        <v>602</v>
      </c>
      <c r="AD31" s="260"/>
      <c r="AE31" s="260"/>
      <c r="AF31" s="260"/>
      <c r="AG31" s="260"/>
      <c r="AH31" s="273"/>
      <c r="AI31" s="277"/>
      <c r="AJ31" s="339"/>
    </row>
    <row r="32" spans="1:36" ht="51" x14ac:dyDescent="0.25">
      <c r="A32" s="339"/>
      <c r="B32" s="350" t="s">
        <v>1059</v>
      </c>
      <c r="C32" s="276">
        <v>1125</v>
      </c>
      <c r="D32" s="260"/>
      <c r="E32" s="260"/>
      <c r="F32" s="260"/>
      <c r="G32" s="260"/>
      <c r="H32" s="260"/>
      <c r="I32" s="260"/>
      <c r="J32" s="350" t="s">
        <v>1060</v>
      </c>
      <c r="K32" s="257" t="s">
        <v>603</v>
      </c>
      <c r="L32" s="349" t="s">
        <v>604</v>
      </c>
      <c r="M32" s="257" t="s">
        <v>605</v>
      </c>
      <c r="N32" s="260"/>
      <c r="O32" s="260"/>
      <c r="P32" s="350" t="s">
        <v>1061</v>
      </c>
      <c r="Q32" s="255" t="s">
        <v>606</v>
      </c>
      <c r="R32" s="260"/>
      <c r="S32" s="260"/>
      <c r="T32" s="260"/>
      <c r="U32" s="260"/>
      <c r="V32" s="260"/>
      <c r="W32" s="260"/>
      <c r="X32" s="273"/>
      <c r="Y32" s="277"/>
      <c r="Z32" s="260"/>
      <c r="AA32" s="260"/>
      <c r="AB32" s="350" t="s">
        <v>1062</v>
      </c>
      <c r="AC32" s="257" t="s">
        <v>607</v>
      </c>
      <c r="AD32" s="260"/>
      <c r="AE32" s="260"/>
      <c r="AF32" s="260"/>
      <c r="AG32" s="260"/>
      <c r="AH32" s="273"/>
      <c r="AI32" s="277"/>
      <c r="AJ32" s="339"/>
    </row>
    <row r="33" spans="1:36" ht="38.25" x14ac:dyDescent="0.25">
      <c r="A33" s="339"/>
      <c r="B33" s="350" t="s">
        <v>1063</v>
      </c>
      <c r="C33" s="276">
        <v>1126</v>
      </c>
      <c r="D33" s="260"/>
      <c r="E33" s="260"/>
      <c r="F33" s="260"/>
      <c r="G33" s="260"/>
      <c r="H33" s="260"/>
      <c r="I33" s="260"/>
      <c r="J33" s="350" t="s">
        <v>1064</v>
      </c>
      <c r="K33" s="257" t="s">
        <v>608</v>
      </c>
      <c r="L33" s="349" t="s">
        <v>609</v>
      </c>
      <c r="M33" s="257" t="s">
        <v>610</v>
      </c>
      <c r="N33" s="260"/>
      <c r="O33" s="260"/>
      <c r="P33" s="350" t="s">
        <v>1065</v>
      </c>
      <c r="Q33" s="257" t="s">
        <v>611</v>
      </c>
      <c r="R33" s="260"/>
      <c r="S33" s="260"/>
      <c r="T33" s="260"/>
      <c r="U33" s="260"/>
      <c r="V33" s="260"/>
      <c r="W33" s="260"/>
      <c r="X33" s="273"/>
      <c r="Y33" s="277"/>
      <c r="Z33" s="260"/>
      <c r="AA33" s="260"/>
      <c r="AB33" s="350" t="s">
        <v>1066</v>
      </c>
      <c r="AC33" s="257" t="s">
        <v>612</v>
      </c>
      <c r="AD33" s="260"/>
      <c r="AE33" s="260"/>
      <c r="AF33" s="260"/>
      <c r="AG33" s="260"/>
      <c r="AH33" s="273"/>
      <c r="AI33" s="277"/>
      <c r="AJ33" s="339"/>
    </row>
    <row r="34" spans="1:36" ht="63.75" x14ac:dyDescent="0.25">
      <c r="A34" s="339"/>
      <c r="B34" s="350" t="s">
        <v>1067</v>
      </c>
      <c r="C34" s="276">
        <v>1127</v>
      </c>
      <c r="D34" s="260"/>
      <c r="E34" s="260"/>
      <c r="F34" s="260"/>
      <c r="G34" s="260"/>
      <c r="H34" s="260"/>
      <c r="I34" s="260"/>
      <c r="J34" s="350" t="s">
        <v>1068</v>
      </c>
      <c r="K34" s="257" t="s">
        <v>613</v>
      </c>
      <c r="L34" s="349" t="s">
        <v>614</v>
      </c>
      <c r="M34" s="257" t="s">
        <v>615</v>
      </c>
      <c r="N34" s="260"/>
      <c r="O34" s="260"/>
      <c r="P34" s="350" t="s">
        <v>1069</v>
      </c>
      <c r="Q34" s="257" t="s">
        <v>616</v>
      </c>
      <c r="R34" s="260"/>
      <c r="S34" s="260"/>
      <c r="T34" s="260"/>
      <c r="U34" s="260"/>
      <c r="V34" s="260"/>
      <c r="W34" s="260"/>
      <c r="X34" s="273"/>
      <c r="Y34" s="277"/>
      <c r="Z34" s="260"/>
      <c r="AA34" s="260"/>
      <c r="AB34" s="350" t="s">
        <v>1070</v>
      </c>
      <c r="AC34" s="257" t="s">
        <v>617</v>
      </c>
      <c r="AD34" s="260"/>
      <c r="AE34" s="260"/>
      <c r="AF34" s="260"/>
      <c r="AG34" s="260"/>
      <c r="AH34" s="273"/>
      <c r="AI34" s="277"/>
      <c r="AJ34" s="339"/>
    </row>
    <row r="35" spans="1:36" ht="64.5" thickBot="1" x14ac:dyDescent="0.3">
      <c r="A35" s="339"/>
      <c r="B35" s="355" t="s">
        <v>1071</v>
      </c>
      <c r="C35" s="276">
        <v>1128</v>
      </c>
      <c r="D35" s="260"/>
      <c r="E35" s="260"/>
      <c r="F35" s="260"/>
      <c r="G35" s="260"/>
      <c r="H35" s="260"/>
      <c r="I35" s="260"/>
      <c r="J35" s="350" t="s">
        <v>1072</v>
      </c>
      <c r="K35" s="257" t="s">
        <v>618</v>
      </c>
      <c r="L35" s="349" t="s">
        <v>619</v>
      </c>
      <c r="M35" s="257" t="s">
        <v>620</v>
      </c>
      <c r="N35" s="260"/>
      <c r="O35" s="260"/>
      <c r="P35" s="350" t="s">
        <v>1073</v>
      </c>
      <c r="Q35" s="257" t="s">
        <v>621</v>
      </c>
      <c r="R35" s="260"/>
      <c r="S35" s="260"/>
      <c r="T35" s="260"/>
      <c r="U35" s="260"/>
      <c r="V35" s="260"/>
      <c r="W35" s="260"/>
      <c r="X35" s="273"/>
      <c r="Y35" s="277"/>
      <c r="Z35" s="260"/>
      <c r="AA35" s="260"/>
      <c r="AB35" s="350" t="s">
        <v>1074</v>
      </c>
      <c r="AC35" s="257" t="s">
        <v>622</v>
      </c>
      <c r="AD35" s="260"/>
      <c r="AE35" s="260"/>
      <c r="AF35" s="260"/>
      <c r="AG35" s="260"/>
      <c r="AH35" s="273"/>
      <c r="AI35" s="277"/>
      <c r="AJ35" s="339"/>
    </row>
    <row r="36" spans="1:36" ht="89.25" customHeight="1" x14ac:dyDescent="0.25">
      <c r="A36" s="339"/>
      <c r="B36" s="355" t="s">
        <v>1075</v>
      </c>
      <c r="C36" s="276">
        <v>1129</v>
      </c>
      <c r="D36" s="260"/>
      <c r="E36" s="260"/>
      <c r="F36" s="260"/>
      <c r="G36" s="260"/>
      <c r="H36" s="260"/>
      <c r="I36" s="260"/>
      <c r="J36" s="350" t="s">
        <v>1076</v>
      </c>
      <c r="K36" s="257" t="s">
        <v>623</v>
      </c>
      <c r="L36" s="349" t="s">
        <v>624</v>
      </c>
      <c r="M36" s="257" t="s">
        <v>625</v>
      </c>
      <c r="N36" s="260"/>
      <c r="O36" s="260"/>
      <c r="P36" s="350" t="s">
        <v>1077</v>
      </c>
      <c r="Q36" s="255" t="s">
        <v>626</v>
      </c>
      <c r="R36" s="260"/>
      <c r="S36" s="260"/>
      <c r="T36" s="260"/>
      <c r="U36" s="260"/>
      <c r="V36" s="260"/>
      <c r="W36" s="260"/>
      <c r="X36" s="273"/>
      <c r="Y36" s="277"/>
      <c r="Z36" s="260"/>
      <c r="AA36" s="260"/>
      <c r="AB36" s="350" t="s">
        <v>1078</v>
      </c>
      <c r="AC36" s="257" t="s">
        <v>627</v>
      </c>
      <c r="AD36" s="260"/>
      <c r="AE36" s="260"/>
      <c r="AF36" s="260"/>
      <c r="AG36" s="260"/>
      <c r="AH36" s="273"/>
      <c r="AI36" s="277"/>
      <c r="AJ36" s="339"/>
    </row>
    <row r="37" spans="1:36" ht="51" x14ac:dyDescent="0.25">
      <c r="A37" s="339"/>
      <c r="B37" s="355" t="s">
        <v>1079</v>
      </c>
      <c r="C37" s="276">
        <v>1130</v>
      </c>
      <c r="D37" s="260"/>
      <c r="E37" s="260"/>
      <c r="F37" s="260"/>
      <c r="G37" s="260"/>
      <c r="H37" s="260"/>
      <c r="I37" s="260"/>
      <c r="J37" s="350" t="s">
        <v>1080</v>
      </c>
      <c r="K37" s="257" t="s">
        <v>628</v>
      </c>
      <c r="L37" s="349" t="s">
        <v>629</v>
      </c>
      <c r="M37" s="257" t="s">
        <v>630</v>
      </c>
      <c r="N37" s="260"/>
      <c r="O37" s="260"/>
      <c r="P37" s="350" t="s">
        <v>1081</v>
      </c>
      <c r="Q37" s="257" t="s">
        <v>631</v>
      </c>
      <c r="R37" s="260"/>
      <c r="S37" s="260"/>
      <c r="T37" s="260"/>
      <c r="U37" s="260"/>
      <c r="V37" s="260"/>
      <c r="W37" s="260"/>
      <c r="X37" s="273"/>
      <c r="Y37" s="277"/>
      <c r="Z37" s="260"/>
      <c r="AA37" s="260"/>
      <c r="AB37" s="350" t="s">
        <v>1082</v>
      </c>
      <c r="AC37" s="257" t="s">
        <v>632</v>
      </c>
      <c r="AD37" s="260"/>
      <c r="AE37" s="260"/>
      <c r="AF37" s="260"/>
      <c r="AG37" s="260"/>
      <c r="AH37" s="273"/>
      <c r="AI37" s="277"/>
      <c r="AJ37" s="339"/>
    </row>
    <row r="38" spans="1:36" ht="38.25" x14ac:dyDescent="0.25">
      <c r="A38" s="339"/>
      <c r="B38" s="355" t="s">
        <v>1083</v>
      </c>
      <c r="C38" s="276">
        <v>1131</v>
      </c>
      <c r="D38" s="260"/>
      <c r="E38" s="260"/>
      <c r="F38" s="260"/>
      <c r="G38" s="260"/>
      <c r="H38" s="260"/>
      <c r="I38" s="260"/>
      <c r="J38" s="350" t="s">
        <v>1084</v>
      </c>
      <c r="K38" s="257" t="s">
        <v>633</v>
      </c>
      <c r="L38" s="349" t="s">
        <v>634</v>
      </c>
      <c r="M38" s="257" t="s">
        <v>635</v>
      </c>
      <c r="N38" s="260"/>
      <c r="O38" s="260"/>
      <c r="P38" s="350" t="s">
        <v>1085</v>
      </c>
      <c r="Q38" s="257" t="s">
        <v>636</v>
      </c>
      <c r="R38" s="260"/>
      <c r="S38" s="260"/>
      <c r="T38" s="260"/>
      <c r="U38" s="260"/>
      <c r="V38" s="260"/>
      <c r="W38" s="260"/>
      <c r="X38" s="273"/>
      <c r="Y38" s="277"/>
      <c r="Z38" s="260"/>
      <c r="AA38" s="260"/>
      <c r="AB38" s="350" t="s">
        <v>1086</v>
      </c>
      <c r="AC38" s="257" t="s">
        <v>637</v>
      </c>
      <c r="AD38" s="260"/>
      <c r="AE38" s="260"/>
      <c r="AF38" s="260"/>
      <c r="AG38" s="260"/>
      <c r="AH38" s="273"/>
      <c r="AI38" s="277"/>
      <c r="AJ38" s="339"/>
    </row>
    <row r="39" spans="1:36" ht="77.25" thickBot="1" x14ac:dyDescent="0.3">
      <c r="A39" s="339"/>
      <c r="B39" s="355" t="s">
        <v>1087</v>
      </c>
      <c r="C39" s="276">
        <v>1132</v>
      </c>
      <c r="D39" s="260"/>
      <c r="E39" s="260"/>
      <c r="F39" s="260"/>
      <c r="G39" s="260"/>
      <c r="H39" s="260"/>
      <c r="I39" s="260"/>
      <c r="J39" s="350" t="s">
        <v>1088</v>
      </c>
      <c r="K39" s="257" t="s">
        <v>638</v>
      </c>
      <c r="L39" s="349" t="s">
        <v>639</v>
      </c>
      <c r="M39" s="257" t="s">
        <v>640</v>
      </c>
      <c r="N39" s="260"/>
      <c r="O39" s="260"/>
      <c r="P39" s="350" t="s">
        <v>1089</v>
      </c>
      <c r="Q39" s="257" t="s">
        <v>641</v>
      </c>
      <c r="R39" s="260"/>
      <c r="S39" s="260"/>
      <c r="T39" s="260"/>
      <c r="U39" s="260"/>
      <c r="V39" s="260"/>
      <c r="W39" s="260"/>
      <c r="X39" s="273"/>
      <c r="Y39" s="277"/>
      <c r="Z39" s="260"/>
      <c r="AA39" s="260"/>
      <c r="AB39" s="350" t="s">
        <v>1090</v>
      </c>
      <c r="AC39" s="257" t="s">
        <v>642</v>
      </c>
      <c r="AD39" s="260"/>
      <c r="AE39" s="260"/>
      <c r="AF39" s="260"/>
      <c r="AG39" s="260"/>
      <c r="AH39" s="273"/>
      <c r="AI39" s="277"/>
      <c r="AJ39" s="339"/>
    </row>
    <row r="40" spans="1:36" ht="51" x14ac:dyDescent="0.25">
      <c r="A40" s="339"/>
      <c r="B40" s="355" t="s">
        <v>1091</v>
      </c>
      <c r="C40" s="276">
        <v>1133</v>
      </c>
      <c r="D40" s="260"/>
      <c r="E40" s="260"/>
      <c r="F40" s="260"/>
      <c r="G40" s="260"/>
      <c r="H40" s="260"/>
      <c r="I40" s="260"/>
      <c r="J40" s="350" t="s">
        <v>1092</v>
      </c>
      <c r="K40" s="257" t="s">
        <v>643</v>
      </c>
      <c r="L40" s="349" t="s">
        <v>644</v>
      </c>
      <c r="M40" s="257" t="s">
        <v>645</v>
      </c>
      <c r="N40" s="260"/>
      <c r="O40" s="260"/>
      <c r="P40" s="350" t="s">
        <v>1093</v>
      </c>
      <c r="Q40" s="255" t="s">
        <v>646</v>
      </c>
      <c r="R40" s="260"/>
      <c r="S40" s="260"/>
      <c r="T40" s="260"/>
      <c r="U40" s="260"/>
      <c r="V40" s="260"/>
      <c r="W40" s="260"/>
      <c r="X40" s="273"/>
      <c r="Y40" s="277"/>
      <c r="Z40" s="260"/>
      <c r="AA40" s="260"/>
      <c r="AB40" s="350" t="s">
        <v>1094</v>
      </c>
      <c r="AC40" s="257" t="s">
        <v>647</v>
      </c>
      <c r="AD40" s="260"/>
      <c r="AE40" s="260"/>
      <c r="AF40" s="260"/>
      <c r="AG40" s="260"/>
      <c r="AH40" s="273"/>
      <c r="AI40" s="277"/>
      <c r="AJ40" s="339"/>
    </row>
    <row r="41" spans="1:36" ht="63.75" x14ac:dyDescent="0.25">
      <c r="A41" s="339"/>
      <c r="B41" s="355" t="s">
        <v>1095</v>
      </c>
      <c r="C41" s="276">
        <v>1134</v>
      </c>
      <c r="D41" s="260"/>
      <c r="E41" s="260"/>
      <c r="F41" s="260"/>
      <c r="G41" s="260"/>
      <c r="H41" s="260"/>
      <c r="I41" s="260"/>
      <c r="J41" s="350" t="s">
        <v>1096</v>
      </c>
      <c r="K41" s="257" t="s">
        <v>648</v>
      </c>
      <c r="L41" s="349" t="s">
        <v>649</v>
      </c>
      <c r="M41" s="257" t="s">
        <v>650</v>
      </c>
      <c r="N41" s="260"/>
      <c r="O41" s="260"/>
      <c r="P41" s="350" t="s">
        <v>1097</v>
      </c>
      <c r="Q41" s="257" t="s">
        <v>651</v>
      </c>
      <c r="R41" s="260"/>
      <c r="S41" s="260"/>
      <c r="T41" s="260"/>
      <c r="U41" s="260"/>
      <c r="V41" s="260"/>
      <c r="W41" s="260"/>
      <c r="X41" s="273"/>
      <c r="Y41" s="277"/>
      <c r="Z41" s="260"/>
      <c r="AA41" s="260"/>
      <c r="AB41" s="350" t="s">
        <v>1098</v>
      </c>
      <c r="AC41" s="257" t="s">
        <v>652</v>
      </c>
      <c r="AD41" s="260"/>
      <c r="AE41" s="260"/>
      <c r="AF41" s="260"/>
      <c r="AG41" s="260"/>
      <c r="AH41" s="339"/>
      <c r="AI41" s="339"/>
      <c r="AJ41" s="339"/>
    </row>
    <row r="42" spans="1:36" ht="38.25" x14ac:dyDescent="0.25">
      <c r="A42" s="339"/>
      <c r="B42" s="355" t="s">
        <v>1099</v>
      </c>
      <c r="C42" s="276">
        <v>1135</v>
      </c>
      <c r="D42" s="260"/>
      <c r="E42" s="260"/>
      <c r="F42" s="260"/>
      <c r="G42" s="260"/>
      <c r="H42" s="260"/>
      <c r="I42" s="260"/>
      <c r="J42" s="350" t="s">
        <v>1100</v>
      </c>
      <c r="K42" s="257" t="s">
        <v>653</v>
      </c>
      <c r="L42" s="349" t="s">
        <v>654</v>
      </c>
      <c r="M42" s="257" t="s">
        <v>655</v>
      </c>
      <c r="N42" s="260"/>
      <c r="O42" s="260"/>
      <c r="P42" s="350" t="s">
        <v>1101</v>
      </c>
      <c r="Q42" s="257" t="s">
        <v>656</v>
      </c>
      <c r="R42" s="260"/>
      <c r="S42" s="260"/>
      <c r="T42" s="260"/>
      <c r="U42" s="260"/>
      <c r="V42" s="260"/>
      <c r="W42" s="260"/>
      <c r="X42" s="273"/>
      <c r="Y42" s="277"/>
      <c r="Z42" s="260"/>
      <c r="AA42" s="260"/>
      <c r="AB42" s="350" t="s">
        <v>1102</v>
      </c>
      <c r="AC42" s="257" t="s">
        <v>657</v>
      </c>
      <c r="AD42" s="260"/>
      <c r="AE42" s="260"/>
      <c r="AF42" s="260"/>
      <c r="AG42" s="260"/>
      <c r="AH42" s="339"/>
      <c r="AI42" s="339"/>
      <c r="AJ42" s="339"/>
    </row>
    <row r="43" spans="1:36" ht="51.75" thickBot="1" x14ac:dyDescent="0.3">
      <c r="A43" s="339"/>
      <c r="B43" s="355" t="s">
        <v>1103</v>
      </c>
      <c r="C43" s="276">
        <v>1136</v>
      </c>
      <c r="D43" s="260"/>
      <c r="E43" s="260"/>
      <c r="F43" s="260"/>
      <c r="G43" s="260"/>
      <c r="H43" s="260"/>
      <c r="I43" s="260"/>
      <c r="J43" s="350" t="s">
        <v>1104</v>
      </c>
      <c r="K43" s="257" t="s">
        <v>658</v>
      </c>
      <c r="L43" s="349" t="s">
        <v>659</v>
      </c>
      <c r="M43" s="257" t="s">
        <v>660</v>
      </c>
      <c r="N43" s="260"/>
      <c r="O43" s="260"/>
      <c r="P43" s="350" t="s">
        <v>1105</v>
      </c>
      <c r="Q43" s="257" t="s">
        <v>661</v>
      </c>
      <c r="R43" s="260"/>
      <c r="S43" s="260"/>
      <c r="T43" s="260"/>
      <c r="U43" s="260"/>
      <c r="V43" s="260"/>
      <c r="W43" s="260"/>
      <c r="X43" s="273"/>
      <c r="Y43" s="277"/>
      <c r="Z43" s="260"/>
      <c r="AA43" s="260"/>
      <c r="AB43" s="350" t="s">
        <v>1106</v>
      </c>
      <c r="AC43" s="257" t="s">
        <v>662</v>
      </c>
      <c r="AD43" s="260"/>
      <c r="AE43" s="260"/>
      <c r="AF43" s="260"/>
      <c r="AG43" s="260"/>
      <c r="AH43" s="339"/>
      <c r="AI43" s="339"/>
      <c r="AJ43" s="339"/>
    </row>
    <row r="44" spans="1:36" ht="51" x14ac:dyDescent="0.25">
      <c r="A44" s="339"/>
      <c r="B44" s="355" t="s">
        <v>1107</v>
      </c>
      <c r="C44" s="276">
        <v>1137</v>
      </c>
      <c r="D44" s="260"/>
      <c r="E44" s="260"/>
      <c r="F44" s="260"/>
      <c r="G44" s="260"/>
      <c r="H44" s="260"/>
      <c r="I44" s="260"/>
      <c r="J44" s="350" t="s">
        <v>1108</v>
      </c>
      <c r="K44" s="257" t="s">
        <v>663</v>
      </c>
      <c r="L44" s="349" t="s">
        <v>664</v>
      </c>
      <c r="M44" s="257" t="s">
        <v>665</v>
      </c>
      <c r="N44" s="260"/>
      <c r="O44" s="260"/>
      <c r="P44" s="350" t="s">
        <v>1109</v>
      </c>
      <c r="Q44" s="255" t="s">
        <v>666</v>
      </c>
      <c r="R44" s="260"/>
      <c r="S44" s="260"/>
      <c r="T44" s="260"/>
      <c r="U44" s="260"/>
      <c r="V44" s="260"/>
      <c r="W44" s="260"/>
      <c r="X44" s="273"/>
      <c r="Y44" s="277"/>
      <c r="Z44" s="260"/>
      <c r="AA44" s="260"/>
      <c r="AB44" s="350" t="s">
        <v>1110</v>
      </c>
      <c r="AC44" s="257" t="s">
        <v>667</v>
      </c>
      <c r="AD44" s="260"/>
      <c r="AE44" s="260"/>
      <c r="AF44" s="260"/>
      <c r="AG44" s="260"/>
      <c r="AH44" s="339"/>
      <c r="AI44" s="339"/>
      <c r="AJ44" s="339"/>
    </row>
    <row r="45" spans="1:36" ht="51" x14ac:dyDescent="0.25">
      <c r="A45" s="339"/>
      <c r="B45" s="355" t="s">
        <v>1111</v>
      </c>
      <c r="C45" s="276">
        <v>1138</v>
      </c>
      <c r="D45" s="260"/>
      <c r="E45" s="260"/>
      <c r="F45" s="260"/>
      <c r="G45" s="260"/>
      <c r="H45" s="260"/>
      <c r="I45" s="260"/>
      <c r="J45" s="350" t="s">
        <v>1112</v>
      </c>
      <c r="K45" s="257" t="s">
        <v>668</v>
      </c>
      <c r="L45" s="349" t="s">
        <v>783</v>
      </c>
      <c r="M45" s="257" t="s">
        <v>669</v>
      </c>
      <c r="N45" s="260"/>
      <c r="O45" s="260"/>
      <c r="P45" s="350" t="s">
        <v>1113</v>
      </c>
      <c r="Q45" s="257" t="s">
        <v>670</v>
      </c>
      <c r="R45" s="260"/>
      <c r="S45" s="260"/>
      <c r="T45" s="260"/>
      <c r="U45" s="260"/>
      <c r="V45" s="260"/>
      <c r="W45" s="260"/>
      <c r="X45" s="273"/>
      <c r="Y45" s="277"/>
      <c r="Z45" s="260"/>
      <c r="AA45" s="260"/>
      <c r="AB45" s="350" t="s">
        <v>1114</v>
      </c>
      <c r="AC45" s="257" t="s">
        <v>671</v>
      </c>
      <c r="AD45" s="260"/>
      <c r="AE45" s="260"/>
      <c r="AF45" s="260"/>
      <c r="AG45" s="260"/>
      <c r="AH45" s="339"/>
      <c r="AI45" s="339"/>
      <c r="AJ45" s="339"/>
    </row>
    <row r="46" spans="1:36" ht="51" x14ac:dyDescent="0.25">
      <c r="A46" s="339"/>
      <c r="B46" s="355" t="s">
        <v>1115</v>
      </c>
      <c r="C46" s="276">
        <v>1139</v>
      </c>
      <c r="D46" s="260"/>
      <c r="E46" s="260"/>
      <c r="F46" s="260"/>
      <c r="G46" s="260"/>
      <c r="H46" s="260"/>
      <c r="I46" s="260"/>
      <c r="J46" s="350" t="s">
        <v>1116</v>
      </c>
      <c r="K46" s="257" t="s">
        <v>672</v>
      </c>
      <c r="L46" s="349" t="s">
        <v>673</v>
      </c>
      <c r="M46" s="257" t="s">
        <v>674</v>
      </c>
      <c r="N46" s="260"/>
      <c r="O46" s="260"/>
      <c r="P46" s="350" t="s">
        <v>1117</v>
      </c>
      <c r="Q46" s="257" t="s">
        <v>675</v>
      </c>
      <c r="R46" s="260"/>
      <c r="S46" s="260"/>
      <c r="T46" s="260"/>
      <c r="U46" s="260"/>
      <c r="V46" s="260"/>
      <c r="W46" s="260"/>
      <c r="X46" s="273"/>
      <c r="Y46" s="277"/>
      <c r="Z46" s="260"/>
      <c r="AA46" s="260"/>
      <c r="AB46" s="350" t="s">
        <v>1118</v>
      </c>
      <c r="AC46" s="257" t="s">
        <v>676</v>
      </c>
      <c r="AD46" s="260"/>
      <c r="AE46" s="260"/>
      <c r="AF46" s="260"/>
      <c r="AG46" s="260"/>
      <c r="AH46" s="339"/>
      <c r="AI46" s="339"/>
      <c r="AJ46" s="339"/>
    </row>
    <row r="47" spans="1:36" ht="51.75" thickBot="1" x14ac:dyDescent="0.3">
      <c r="A47" s="339"/>
      <c r="B47" s="355" t="s">
        <v>1119</v>
      </c>
      <c r="C47" s="276">
        <v>1140</v>
      </c>
      <c r="D47" s="260"/>
      <c r="E47" s="260"/>
      <c r="F47" s="260"/>
      <c r="G47" s="260"/>
      <c r="H47" s="260"/>
      <c r="I47" s="260"/>
      <c r="J47" s="350" t="s">
        <v>1120</v>
      </c>
      <c r="K47" s="257" t="s">
        <v>677</v>
      </c>
      <c r="L47" s="349" t="s">
        <v>678</v>
      </c>
      <c r="M47" s="257" t="s">
        <v>679</v>
      </c>
      <c r="N47" s="260"/>
      <c r="O47" s="260"/>
      <c r="P47" s="350" t="s">
        <v>1121</v>
      </c>
      <c r="Q47" s="257" t="s">
        <v>680</v>
      </c>
      <c r="R47" s="260"/>
      <c r="S47" s="260"/>
      <c r="T47" s="260"/>
      <c r="U47" s="260"/>
      <c r="V47" s="260"/>
      <c r="W47" s="260"/>
      <c r="X47" s="260"/>
      <c r="Y47" s="260"/>
      <c r="Z47" s="260"/>
      <c r="AA47" s="260"/>
      <c r="AB47" s="350" t="s">
        <v>1122</v>
      </c>
      <c r="AC47" s="257" t="s">
        <v>681</v>
      </c>
      <c r="AD47" s="260"/>
      <c r="AE47" s="260"/>
      <c r="AF47" s="260"/>
      <c r="AG47" s="260"/>
      <c r="AH47" s="339"/>
      <c r="AI47" s="339"/>
      <c r="AJ47" s="339"/>
    </row>
    <row r="48" spans="1:36" ht="51" x14ac:dyDescent="0.25">
      <c r="A48" s="339"/>
      <c r="B48" s="355" t="s">
        <v>1123</v>
      </c>
      <c r="C48" s="276">
        <v>1141</v>
      </c>
      <c r="D48" s="260"/>
      <c r="E48" s="260"/>
      <c r="F48" s="260"/>
      <c r="G48" s="260"/>
      <c r="H48" s="260"/>
      <c r="I48" s="260"/>
      <c r="J48" s="350" t="s">
        <v>1124</v>
      </c>
      <c r="K48" s="257" t="s">
        <v>682</v>
      </c>
      <c r="L48" s="349" t="s">
        <v>683</v>
      </c>
      <c r="M48" s="257" t="s">
        <v>684</v>
      </c>
      <c r="N48" s="260"/>
      <c r="O48" s="260"/>
      <c r="P48" s="350" t="s">
        <v>1125</v>
      </c>
      <c r="Q48" s="255" t="s">
        <v>685</v>
      </c>
      <c r="R48" s="260"/>
      <c r="S48" s="260"/>
      <c r="T48" s="260"/>
      <c r="U48" s="260"/>
      <c r="V48" s="260"/>
      <c r="W48" s="260"/>
      <c r="X48" s="260"/>
      <c r="Y48" s="260"/>
      <c r="Z48" s="260"/>
      <c r="AA48" s="260"/>
      <c r="AB48" s="350" t="s">
        <v>1126</v>
      </c>
      <c r="AC48" s="257" t="s">
        <v>686</v>
      </c>
      <c r="AD48" s="260"/>
      <c r="AE48" s="260"/>
      <c r="AF48" s="260"/>
      <c r="AG48" s="260"/>
      <c r="AH48" s="339"/>
      <c r="AI48" s="339"/>
      <c r="AJ48" s="339"/>
    </row>
    <row r="49" spans="1:36" ht="51" x14ac:dyDescent="0.25">
      <c r="A49" s="339"/>
      <c r="B49" s="355" t="s">
        <v>1127</v>
      </c>
      <c r="C49" s="276">
        <v>1142</v>
      </c>
      <c r="D49" s="260"/>
      <c r="E49" s="260"/>
      <c r="F49" s="260"/>
      <c r="G49" s="260"/>
      <c r="H49" s="260"/>
      <c r="I49" s="260"/>
      <c r="J49" s="350" t="s">
        <v>1128</v>
      </c>
      <c r="K49" s="257" t="s">
        <v>687</v>
      </c>
      <c r="L49" s="349" t="s">
        <v>688</v>
      </c>
      <c r="M49" s="257" t="s">
        <v>689</v>
      </c>
      <c r="N49" s="260"/>
      <c r="O49" s="260"/>
      <c r="P49" s="350" t="s">
        <v>1129</v>
      </c>
      <c r="Q49" s="257" t="s">
        <v>690</v>
      </c>
      <c r="R49" s="260"/>
      <c r="S49" s="260"/>
      <c r="T49" s="260"/>
      <c r="U49" s="260"/>
      <c r="V49" s="260"/>
      <c r="W49" s="260"/>
      <c r="X49" s="260"/>
      <c r="Y49" s="260"/>
      <c r="Z49" s="260"/>
      <c r="AA49" s="260"/>
      <c r="AB49" s="350" t="s">
        <v>1130</v>
      </c>
      <c r="AC49" s="257" t="s">
        <v>691</v>
      </c>
      <c r="AD49" s="260"/>
      <c r="AE49" s="260"/>
      <c r="AF49" s="260"/>
      <c r="AG49" s="260"/>
      <c r="AH49" s="339"/>
      <c r="AI49" s="339"/>
      <c r="AJ49" s="339"/>
    </row>
    <row r="50" spans="1:36" ht="64.5" customHeight="1" thickBot="1" x14ac:dyDescent="0.3">
      <c r="A50" s="339"/>
      <c r="B50" s="355" t="s">
        <v>1131</v>
      </c>
      <c r="C50" s="276">
        <v>1143</v>
      </c>
      <c r="D50" s="260"/>
      <c r="E50" s="260"/>
      <c r="F50" s="260"/>
      <c r="G50" s="260"/>
      <c r="H50" s="260"/>
      <c r="I50" s="260"/>
      <c r="J50" s="350" t="s">
        <v>1132</v>
      </c>
      <c r="K50" s="257" t="s">
        <v>692</v>
      </c>
      <c r="L50" s="349" t="s">
        <v>693</v>
      </c>
      <c r="M50" s="257" t="s">
        <v>694</v>
      </c>
      <c r="N50" s="260"/>
      <c r="O50" s="260"/>
      <c r="P50" s="350" t="s">
        <v>1133</v>
      </c>
      <c r="Q50" s="257" t="s">
        <v>695</v>
      </c>
      <c r="R50" s="260"/>
      <c r="S50" s="260"/>
      <c r="T50" s="260"/>
      <c r="U50" s="260"/>
      <c r="V50" s="260"/>
      <c r="W50" s="260"/>
      <c r="X50" s="260"/>
      <c r="Y50" s="260"/>
      <c r="Z50" s="260"/>
      <c r="AA50" s="260"/>
      <c r="AB50" s="353" t="s">
        <v>1134</v>
      </c>
      <c r="AC50" s="259" t="s">
        <v>696</v>
      </c>
      <c r="AD50" s="260"/>
      <c r="AE50" s="260"/>
      <c r="AF50" s="260"/>
      <c r="AG50" s="260"/>
      <c r="AH50" s="339"/>
      <c r="AI50" s="339"/>
      <c r="AJ50" s="339"/>
    </row>
    <row r="51" spans="1:36" ht="51.75" thickBot="1" x14ac:dyDescent="0.3">
      <c r="A51" s="339"/>
      <c r="B51" s="355" t="s">
        <v>1135</v>
      </c>
      <c r="C51" s="276">
        <v>1144</v>
      </c>
      <c r="D51" s="260"/>
      <c r="E51" s="260"/>
      <c r="F51" s="260"/>
      <c r="G51" s="260"/>
      <c r="H51" s="260"/>
      <c r="I51" s="260"/>
      <c r="J51" s="350" t="s">
        <v>1136</v>
      </c>
      <c r="K51" s="257" t="s">
        <v>697</v>
      </c>
      <c r="L51" s="349" t="s">
        <v>698</v>
      </c>
      <c r="M51" s="257" t="s">
        <v>699</v>
      </c>
      <c r="N51" s="260"/>
      <c r="O51" s="260"/>
      <c r="P51" s="350" t="s">
        <v>1137</v>
      </c>
      <c r="Q51" s="257" t="s">
        <v>700</v>
      </c>
      <c r="R51" s="260"/>
      <c r="S51" s="260"/>
      <c r="T51" s="260"/>
      <c r="U51" s="260"/>
      <c r="V51" s="260"/>
      <c r="W51" s="260"/>
      <c r="X51" s="260"/>
      <c r="Y51" s="260"/>
      <c r="Z51" s="260"/>
      <c r="AA51" s="260"/>
      <c r="AB51" s="273"/>
      <c r="AC51" s="277"/>
      <c r="AD51" s="260"/>
      <c r="AE51" s="260"/>
      <c r="AF51" s="260"/>
      <c r="AG51" s="260"/>
      <c r="AH51" s="339"/>
      <c r="AI51" s="339"/>
      <c r="AJ51" s="339"/>
    </row>
    <row r="52" spans="1:36" ht="76.5" x14ac:dyDescent="0.25">
      <c r="A52" s="339"/>
      <c r="B52" s="355" t="s">
        <v>1138</v>
      </c>
      <c r="C52" s="276">
        <v>1145</v>
      </c>
      <c r="D52" s="260"/>
      <c r="E52" s="260"/>
      <c r="F52" s="260"/>
      <c r="G52" s="260"/>
      <c r="H52" s="260"/>
      <c r="I52" s="260"/>
      <c r="J52" s="350" t="s">
        <v>1139</v>
      </c>
      <c r="K52" s="257" t="s">
        <v>701</v>
      </c>
      <c r="L52" s="349" t="s">
        <v>702</v>
      </c>
      <c r="M52" s="257" t="s">
        <v>703</v>
      </c>
      <c r="N52" s="260"/>
      <c r="O52" s="260"/>
      <c r="P52" s="350" t="s">
        <v>1140</v>
      </c>
      <c r="Q52" s="255" t="s">
        <v>704</v>
      </c>
      <c r="R52" s="260"/>
      <c r="S52" s="260"/>
      <c r="T52" s="260"/>
      <c r="U52" s="260"/>
      <c r="V52" s="260"/>
      <c r="W52" s="260"/>
      <c r="X52" s="260"/>
      <c r="Y52" s="260"/>
      <c r="Z52" s="260"/>
      <c r="AA52" s="260"/>
      <c r="AB52" s="273"/>
      <c r="AC52" s="277"/>
      <c r="AD52" s="260"/>
      <c r="AE52" s="260"/>
      <c r="AF52" s="260"/>
      <c r="AG52" s="260"/>
      <c r="AH52" s="339"/>
      <c r="AI52" s="339"/>
      <c r="AJ52" s="339"/>
    </row>
    <row r="53" spans="1:36" ht="63.75" x14ac:dyDescent="0.25">
      <c r="A53" s="339"/>
      <c r="B53" s="355" t="s">
        <v>1141</v>
      </c>
      <c r="C53" s="276">
        <v>1146</v>
      </c>
      <c r="D53" s="260"/>
      <c r="E53" s="260"/>
      <c r="F53" s="260"/>
      <c r="G53" s="260"/>
      <c r="H53" s="260"/>
      <c r="I53" s="260"/>
      <c r="J53" s="350" t="s">
        <v>1142</v>
      </c>
      <c r="K53" s="257" t="s">
        <v>705</v>
      </c>
      <c r="L53" s="349" t="s">
        <v>706</v>
      </c>
      <c r="M53" s="257" t="s">
        <v>707</v>
      </c>
      <c r="N53" s="260"/>
      <c r="O53" s="260"/>
      <c r="P53" s="350" t="s">
        <v>1143</v>
      </c>
      <c r="Q53" s="257" t="s">
        <v>708</v>
      </c>
      <c r="R53" s="260"/>
      <c r="S53" s="260"/>
      <c r="T53" s="260"/>
      <c r="U53" s="260"/>
      <c r="V53" s="260"/>
      <c r="W53" s="260"/>
      <c r="X53" s="260"/>
      <c r="Y53" s="260"/>
      <c r="Z53" s="260"/>
      <c r="AA53" s="260"/>
      <c r="AB53" s="273"/>
      <c r="AC53" s="277"/>
      <c r="AD53" s="260"/>
      <c r="AE53" s="260"/>
      <c r="AF53" s="260"/>
      <c r="AG53" s="260"/>
      <c r="AH53" s="339"/>
      <c r="AI53" s="339"/>
      <c r="AJ53" s="339"/>
    </row>
    <row r="54" spans="1:36" ht="38.25" x14ac:dyDescent="0.25">
      <c r="A54" s="339"/>
      <c r="B54" s="355" t="s">
        <v>1144</v>
      </c>
      <c r="C54" s="276">
        <v>1147</v>
      </c>
      <c r="D54" s="260"/>
      <c r="E54" s="260"/>
      <c r="F54" s="260"/>
      <c r="G54" s="260"/>
      <c r="H54" s="260"/>
      <c r="I54" s="260"/>
      <c r="J54" s="350" t="s">
        <v>1145</v>
      </c>
      <c r="K54" s="257" t="s">
        <v>709</v>
      </c>
      <c r="L54" s="349" t="s">
        <v>710</v>
      </c>
      <c r="M54" s="257" t="s">
        <v>711</v>
      </c>
      <c r="N54" s="260"/>
      <c r="O54" s="260"/>
      <c r="P54" s="350" t="s">
        <v>1146</v>
      </c>
      <c r="Q54" s="257" t="s">
        <v>712</v>
      </c>
      <c r="R54" s="260"/>
      <c r="S54" s="260"/>
      <c r="T54" s="260"/>
      <c r="U54" s="260"/>
      <c r="V54" s="260"/>
      <c r="W54" s="260"/>
      <c r="X54" s="260"/>
      <c r="Y54" s="260"/>
      <c r="Z54" s="260"/>
      <c r="AA54" s="260"/>
      <c r="AB54" s="273"/>
      <c r="AC54" s="277"/>
      <c r="AD54" s="260"/>
      <c r="AE54" s="260"/>
      <c r="AF54" s="260"/>
      <c r="AG54" s="260"/>
      <c r="AH54" s="339"/>
      <c r="AI54" s="339"/>
      <c r="AJ54" s="339"/>
    </row>
    <row r="55" spans="1:36" ht="51.75" thickBot="1" x14ac:dyDescent="0.3">
      <c r="A55" s="339"/>
      <c r="B55" s="355" t="s">
        <v>1147</v>
      </c>
      <c r="C55" s="276">
        <v>1148</v>
      </c>
      <c r="D55" s="260"/>
      <c r="E55" s="260"/>
      <c r="F55" s="260"/>
      <c r="G55" s="260"/>
      <c r="H55" s="260"/>
      <c r="I55" s="260"/>
      <c r="J55" s="350" t="s">
        <v>1148</v>
      </c>
      <c r="K55" s="257" t="s">
        <v>713</v>
      </c>
      <c r="L55" s="349" t="s">
        <v>784</v>
      </c>
      <c r="M55" s="257" t="s">
        <v>714</v>
      </c>
      <c r="N55" s="260"/>
      <c r="O55" s="260"/>
      <c r="P55" s="353" t="s">
        <v>1149</v>
      </c>
      <c r="Q55" s="259" t="s">
        <v>715</v>
      </c>
      <c r="R55" s="260"/>
      <c r="S55" s="260"/>
      <c r="T55" s="260"/>
      <c r="U55" s="260"/>
      <c r="V55" s="260"/>
      <c r="W55" s="260"/>
      <c r="X55" s="260"/>
      <c r="Y55" s="260"/>
      <c r="Z55" s="260"/>
      <c r="AA55" s="260"/>
      <c r="AB55" s="273"/>
      <c r="AC55" s="277"/>
      <c r="AD55" s="260"/>
      <c r="AE55" s="260"/>
      <c r="AF55" s="260"/>
      <c r="AG55" s="260"/>
      <c r="AH55" s="339"/>
      <c r="AI55" s="339"/>
      <c r="AJ55" s="339"/>
    </row>
    <row r="56" spans="1:36" ht="51.75" thickBot="1" x14ac:dyDescent="0.3">
      <c r="A56" s="339"/>
      <c r="B56" s="355" t="s">
        <v>1150</v>
      </c>
      <c r="C56" s="276">
        <v>1149</v>
      </c>
      <c r="D56" s="260"/>
      <c r="E56" s="260"/>
      <c r="F56" s="260"/>
      <c r="G56" s="260"/>
      <c r="H56" s="260"/>
      <c r="I56" s="260"/>
      <c r="J56" s="350" t="s">
        <v>1151</v>
      </c>
      <c r="K56" s="257" t="s">
        <v>716</v>
      </c>
      <c r="L56" s="349" t="s">
        <v>785</v>
      </c>
      <c r="M56" s="257" t="s">
        <v>717</v>
      </c>
      <c r="N56" s="260"/>
      <c r="O56" s="260"/>
      <c r="P56" s="353" t="s">
        <v>1290</v>
      </c>
      <c r="Q56" s="259" t="s">
        <v>1291</v>
      </c>
      <c r="R56" s="260"/>
      <c r="S56" s="260"/>
      <c r="T56" s="260"/>
      <c r="U56" s="260"/>
      <c r="V56" s="260"/>
      <c r="W56" s="260"/>
      <c r="X56" s="260"/>
      <c r="Y56" s="260"/>
      <c r="Z56" s="260"/>
      <c r="AA56" s="260"/>
      <c r="AB56" s="273"/>
      <c r="AC56" s="277"/>
      <c r="AD56" s="260"/>
      <c r="AE56" s="260"/>
      <c r="AF56" s="260"/>
      <c r="AG56" s="260"/>
      <c r="AH56" s="339"/>
      <c r="AI56" s="339"/>
      <c r="AJ56" s="339"/>
    </row>
    <row r="57" spans="1:36" ht="140.25" x14ac:dyDescent="0.25">
      <c r="A57" s="339"/>
      <c r="B57" s="355" t="s">
        <v>1152</v>
      </c>
      <c r="C57" s="276">
        <v>1150</v>
      </c>
      <c r="D57" s="260"/>
      <c r="E57" s="260"/>
      <c r="F57" s="260"/>
      <c r="G57" s="260"/>
      <c r="H57" s="260"/>
      <c r="I57" s="260"/>
      <c r="J57" s="350" t="s">
        <v>1153</v>
      </c>
      <c r="K57" s="257" t="s">
        <v>791</v>
      </c>
      <c r="L57" s="349" t="s">
        <v>718</v>
      </c>
      <c r="M57" s="257" t="s">
        <v>719</v>
      </c>
      <c r="N57" s="260"/>
      <c r="O57" s="260"/>
      <c r="P57" s="273"/>
      <c r="Q57" s="277"/>
      <c r="R57" s="260"/>
      <c r="S57" s="260"/>
      <c r="T57" s="260"/>
      <c r="U57" s="260"/>
      <c r="V57" s="260"/>
      <c r="W57" s="260"/>
      <c r="X57" s="260"/>
      <c r="Y57" s="260"/>
      <c r="Z57" s="260"/>
      <c r="AA57" s="260"/>
      <c r="AB57" s="273"/>
      <c r="AC57" s="277"/>
      <c r="AD57" s="260"/>
      <c r="AE57" s="260"/>
      <c r="AF57" s="260"/>
      <c r="AG57" s="260"/>
      <c r="AH57" s="339"/>
      <c r="AI57" s="339"/>
      <c r="AJ57" s="339"/>
    </row>
    <row r="58" spans="1:36" ht="51" x14ac:dyDescent="0.25">
      <c r="A58" s="339"/>
      <c r="B58" s="355" t="s">
        <v>1154</v>
      </c>
      <c r="C58" s="276">
        <v>1151</v>
      </c>
      <c r="D58" s="260"/>
      <c r="E58" s="260"/>
      <c r="F58" s="260"/>
      <c r="G58" s="260"/>
      <c r="H58" s="260"/>
      <c r="I58" s="260"/>
      <c r="J58" s="350" t="s">
        <v>1155</v>
      </c>
      <c r="K58" s="257" t="s">
        <v>792</v>
      </c>
      <c r="L58" s="349" t="s">
        <v>787</v>
      </c>
      <c r="M58" s="257" t="s">
        <v>720</v>
      </c>
      <c r="N58" s="260"/>
      <c r="O58" s="260"/>
      <c r="P58" s="273"/>
      <c r="Q58" s="277"/>
      <c r="R58" s="260"/>
      <c r="S58" s="260"/>
      <c r="T58" s="260"/>
      <c r="U58" s="260"/>
      <c r="V58" s="260"/>
      <c r="W58" s="260"/>
      <c r="X58" s="260"/>
      <c r="Y58" s="260"/>
      <c r="Z58" s="260"/>
      <c r="AA58" s="260"/>
      <c r="AB58" s="273"/>
      <c r="AC58" s="277"/>
      <c r="AD58" s="260"/>
      <c r="AE58" s="260"/>
      <c r="AF58" s="260"/>
      <c r="AG58" s="260"/>
      <c r="AH58" s="339"/>
      <c r="AI58" s="339"/>
      <c r="AJ58" s="339"/>
    </row>
    <row r="59" spans="1:36" ht="63.75" x14ac:dyDescent="0.25">
      <c r="A59" s="339"/>
      <c r="B59" s="355" t="s">
        <v>1156</v>
      </c>
      <c r="C59" s="276">
        <v>1152</v>
      </c>
      <c r="D59" s="260"/>
      <c r="E59" s="260"/>
      <c r="F59" s="260"/>
      <c r="G59" s="260"/>
      <c r="H59" s="260"/>
      <c r="I59" s="260"/>
      <c r="J59" s="350" t="s">
        <v>1157</v>
      </c>
      <c r="K59" s="257" t="s">
        <v>793</v>
      </c>
      <c r="L59" s="349" t="s">
        <v>721</v>
      </c>
      <c r="M59" s="257" t="s">
        <v>722</v>
      </c>
      <c r="N59" s="260"/>
      <c r="O59" s="260"/>
      <c r="P59" s="273"/>
      <c r="Q59" s="277"/>
      <c r="R59" s="260"/>
      <c r="S59" s="260"/>
      <c r="T59" s="260"/>
      <c r="U59" s="260"/>
      <c r="V59" s="260"/>
      <c r="W59" s="260"/>
      <c r="X59" s="260"/>
      <c r="Y59" s="260"/>
      <c r="Z59" s="260"/>
      <c r="AA59" s="260"/>
      <c r="AB59" s="273"/>
      <c r="AC59" s="277"/>
      <c r="AD59" s="260"/>
      <c r="AE59" s="260"/>
      <c r="AF59" s="260"/>
      <c r="AG59" s="260"/>
      <c r="AH59" s="339"/>
      <c r="AI59" s="339"/>
      <c r="AJ59" s="339"/>
    </row>
    <row r="60" spans="1:36" ht="38.25" x14ac:dyDescent="0.25">
      <c r="A60" s="339"/>
      <c r="B60" s="355" t="s">
        <v>1158</v>
      </c>
      <c r="C60" s="276">
        <v>1153</v>
      </c>
      <c r="D60" s="260"/>
      <c r="E60" s="260"/>
      <c r="F60" s="260"/>
      <c r="G60" s="260"/>
      <c r="H60" s="260"/>
      <c r="I60" s="260"/>
      <c r="J60" s="350" t="s">
        <v>1159</v>
      </c>
      <c r="K60" s="257" t="s">
        <v>794</v>
      </c>
      <c r="L60" s="349" t="s">
        <v>788</v>
      </c>
      <c r="M60" s="257" t="s">
        <v>723</v>
      </c>
      <c r="N60" s="260"/>
      <c r="O60" s="260"/>
      <c r="P60" s="273"/>
      <c r="Q60" s="277"/>
      <c r="R60" s="260"/>
      <c r="S60" s="260"/>
      <c r="T60" s="260"/>
      <c r="U60" s="260"/>
      <c r="V60" s="260"/>
      <c r="W60" s="260"/>
      <c r="X60" s="260"/>
      <c r="Y60" s="260"/>
      <c r="Z60" s="260"/>
      <c r="AA60" s="260"/>
      <c r="AB60" s="273"/>
      <c r="AC60" s="277"/>
      <c r="AD60" s="260"/>
      <c r="AE60" s="260"/>
      <c r="AF60" s="260"/>
      <c r="AG60" s="260"/>
      <c r="AH60" s="339"/>
      <c r="AI60" s="339"/>
      <c r="AJ60" s="339"/>
    </row>
    <row r="61" spans="1:36" ht="38.25" x14ac:dyDescent="0.25">
      <c r="A61" s="339"/>
      <c r="B61" s="355" t="s">
        <v>1160</v>
      </c>
      <c r="C61" s="276">
        <v>1154</v>
      </c>
      <c r="D61" s="260"/>
      <c r="E61" s="260"/>
      <c r="F61" s="260"/>
      <c r="G61" s="260"/>
      <c r="H61" s="260"/>
      <c r="I61" s="260"/>
      <c r="J61" s="350" t="s">
        <v>1161</v>
      </c>
      <c r="K61" s="257" t="s">
        <v>795</v>
      </c>
      <c r="L61" s="349" t="s">
        <v>724</v>
      </c>
      <c r="M61" s="257" t="s">
        <v>725</v>
      </c>
      <c r="N61" s="260"/>
      <c r="O61" s="260"/>
      <c r="P61" s="273"/>
      <c r="Q61" s="277"/>
      <c r="R61" s="260"/>
      <c r="S61" s="260"/>
      <c r="T61" s="260"/>
      <c r="U61" s="260"/>
      <c r="V61" s="260"/>
      <c r="W61" s="260"/>
      <c r="X61" s="260"/>
      <c r="Y61" s="260"/>
      <c r="Z61" s="260"/>
      <c r="AA61" s="260"/>
      <c r="AB61" s="273"/>
      <c r="AC61" s="277"/>
      <c r="AD61" s="260"/>
      <c r="AE61" s="260"/>
      <c r="AF61" s="260"/>
      <c r="AG61" s="260"/>
      <c r="AH61" s="339"/>
      <c r="AI61" s="339"/>
      <c r="AJ61" s="339"/>
    </row>
    <row r="62" spans="1:36" ht="38.25" x14ac:dyDescent="0.25">
      <c r="A62" s="339"/>
      <c r="B62" s="355" t="s">
        <v>1162</v>
      </c>
      <c r="C62" s="276">
        <v>1155</v>
      </c>
      <c r="D62" s="260"/>
      <c r="E62" s="260"/>
      <c r="F62" s="260"/>
      <c r="G62" s="260"/>
      <c r="H62" s="260"/>
      <c r="I62" s="260"/>
      <c r="J62" s="350" t="s">
        <v>1163</v>
      </c>
      <c r="K62" s="257" t="s">
        <v>796</v>
      </c>
      <c r="L62" s="349" t="s">
        <v>786</v>
      </c>
      <c r="M62" s="257" t="s">
        <v>726</v>
      </c>
      <c r="N62" s="260"/>
      <c r="O62" s="260"/>
      <c r="P62" s="273"/>
      <c r="Q62" s="277"/>
      <c r="R62" s="260"/>
      <c r="S62" s="260"/>
      <c r="T62" s="260"/>
      <c r="U62" s="260"/>
      <c r="V62" s="260"/>
      <c r="W62" s="260"/>
      <c r="X62" s="260"/>
      <c r="Y62" s="260"/>
      <c r="Z62" s="260"/>
      <c r="AA62" s="260"/>
      <c r="AB62" s="273"/>
      <c r="AC62" s="277"/>
      <c r="AD62" s="260"/>
      <c r="AE62" s="260"/>
      <c r="AF62" s="260"/>
      <c r="AG62" s="260"/>
      <c r="AH62" s="339"/>
      <c r="AI62" s="339"/>
      <c r="AJ62" s="339"/>
    </row>
    <row r="63" spans="1:36" ht="51.75" thickBot="1" x14ac:dyDescent="0.3">
      <c r="A63" s="339"/>
      <c r="B63" s="355" t="s">
        <v>1164</v>
      </c>
      <c r="C63" s="276">
        <v>1156</v>
      </c>
      <c r="D63" s="260"/>
      <c r="E63" s="260"/>
      <c r="F63" s="260"/>
      <c r="G63" s="260"/>
      <c r="H63" s="260"/>
      <c r="I63" s="260"/>
      <c r="J63" s="350" t="s">
        <v>1165</v>
      </c>
      <c r="K63" s="257" t="s">
        <v>797</v>
      </c>
      <c r="L63" s="352" t="s">
        <v>1166</v>
      </c>
      <c r="M63" s="259" t="s">
        <v>727</v>
      </c>
      <c r="N63" s="260"/>
      <c r="O63" s="260"/>
      <c r="P63" s="273"/>
      <c r="Q63" s="277"/>
      <c r="R63" s="260"/>
      <c r="S63" s="260"/>
      <c r="T63" s="260"/>
      <c r="U63" s="260"/>
      <c r="V63" s="260"/>
      <c r="W63" s="260"/>
      <c r="X63" s="260"/>
      <c r="Y63" s="260"/>
      <c r="Z63" s="260"/>
      <c r="AA63" s="260"/>
      <c r="AB63" s="273"/>
      <c r="AC63" s="277"/>
      <c r="AD63" s="260"/>
      <c r="AE63" s="260"/>
      <c r="AF63" s="260"/>
      <c r="AG63" s="260"/>
      <c r="AH63" s="339"/>
      <c r="AI63" s="339"/>
      <c r="AJ63" s="339"/>
    </row>
    <row r="64" spans="1:36" ht="38.25" x14ac:dyDescent="0.25">
      <c r="A64" s="339"/>
      <c r="B64" s="355" t="s">
        <v>1167</v>
      </c>
      <c r="C64" s="276">
        <v>1157</v>
      </c>
      <c r="D64" s="260"/>
      <c r="E64" s="260"/>
      <c r="F64" s="260"/>
      <c r="G64" s="260"/>
      <c r="H64" s="260"/>
      <c r="I64" s="260"/>
      <c r="J64" s="350" t="s">
        <v>1168</v>
      </c>
      <c r="K64" s="257" t="s">
        <v>798</v>
      </c>
      <c r="L64" s="273"/>
      <c r="M64" s="277"/>
      <c r="N64" s="260"/>
      <c r="O64" s="260"/>
      <c r="P64" s="273"/>
      <c r="Q64" s="277"/>
      <c r="R64" s="260"/>
      <c r="S64" s="260"/>
      <c r="T64" s="260"/>
      <c r="U64" s="260"/>
      <c r="V64" s="260"/>
      <c r="W64" s="260"/>
      <c r="X64" s="260"/>
      <c r="Y64" s="260"/>
      <c r="Z64" s="260"/>
      <c r="AA64" s="260"/>
      <c r="AB64" s="273"/>
      <c r="AC64" s="277"/>
      <c r="AD64" s="260"/>
      <c r="AE64" s="260"/>
      <c r="AF64" s="260"/>
      <c r="AG64" s="260"/>
      <c r="AH64" s="339"/>
      <c r="AI64" s="339"/>
      <c r="AJ64" s="339"/>
    </row>
    <row r="65" spans="1:36" ht="38.25" x14ac:dyDescent="0.25">
      <c r="A65" s="339"/>
      <c r="B65" s="355" t="s">
        <v>1169</v>
      </c>
      <c r="C65" s="276">
        <v>1158</v>
      </c>
      <c r="D65" s="260"/>
      <c r="E65" s="260"/>
      <c r="F65" s="260"/>
      <c r="G65" s="260"/>
      <c r="H65" s="260"/>
      <c r="I65" s="260"/>
      <c r="J65" s="350" t="s">
        <v>1170</v>
      </c>
      <c r="K65" s="257" t="s">
        <v>799</v>
      </c>
      <c r="L65" s="273"/>
      <c r="M65" s="277"/>
      <c r="N65" s="260"/>
      <c r="O65" s="260"/>
      <c r="P65" s="273"/>
      <c r="Q65" s="277"/>
      <c r="R65" s="260"/>
      <c r="S65" s="260"/>
      <c r="T65" s="260"/>
      <c r="U65" s="260"/>
      <c r="V65" s="260"/>
      <c r="W65" s="260"/>
      <c r="X65" s="260"/>
      <c r="Y65" s="260"/>
      <c r="Z65" s="260"/>
      <c r="AA65" s="260"/>
      <c r="AB65" s="273"/>
      <c r="AC65" s="277"/>
      <c r="AD65" s="260"/>
      <c r="AE65" s="260"/>
      <c r="AF65" s="260"/>
      <c r="AG65" s="260"/>
      <c r="AH65" s="339"/>
      <c r="AI65" s="339"/>
      <c r="AJ65" s="339"/>
    </row>
    <row r="66" spans="1:36" ht="63.75" x14ac:dyDescent="0.25">
      <c r="A66" s="339"/>
      <c r="B66" s="355" t="s">
        <v>1171</v>
      </c>
      <c r="C66" s="276">
        <v>1159</v>
      </c>
      <c r="D66" s="260"/>
      <c r="E66" s="260"/>
      <c r="F66" s="260"/>
      <c r="G66" s="260"/>
      <c r="H66" s="260"/>
      <c r="I66" s="260"/>
      <c r="J66" s="350" t="s">
        <v>1172</v>
      </c>
      <c r="K66" s="257" t="s">
        <v>800</v>
      </c>
      <c r="L66" s="260"/>
      <c r="M66" s="260"/>
      <c r="N66" s="260"/>
      <c r="O66" s="260"/>
      <c r="P66" s="260"/>
      <c r="Q66" s="260"/>
      <c r="R66" s="260"/>
      <c r="S66" s="260"/>
      <c r="T66" s="260"/>
      <c r="U66" s="260"/>
      <c r="V66" s="260"/>
      <c r="W66" s="260"/>
      <c r="X66" s="260"/>
      <c r="Y66" s="260"/>
      <c r="Z66" s="260"/>
      <c r="AA66" s="260"/>
      <c r="AB66" s="273"/>
      <c r="AC66" s="277"/>
      <c r="AD66" s="260"/>
      <c r="AE66" s="260"/>
      <c r="AF66" s="260"/>
      <c r="AG66" s="260"/>
      <c r="AH66" s="339"/>
      <c r="AI66" s="339"/>
      <c r="AJ66" s="339"/>
    </row>
    <row r="67" spans="1:36" ht="51" x14ac:dyDescent="0.25">
      <c r="A67" s="339"/>
      <c r="B67" s="355" t="s">
        <v>1173</v>
      </c>
      <c r="C67" s="276">
        <v>1160</v>
      </c>
      <c r="D67" s="260"/>
      <c r="E67" s="260"/>
      <c r="F67" s="260"/>
      <c r="G67" s="260"/>
      <c r="H67" s="260"/>
      <c r="I67" s="260"/>
      <c r="J67" s="350" t="s">
        <v>1174</v>
      </c>
      <c r="K67" s="257" t="s">
        <v>801</v>
      </c>
      <c r="L67" s="260"/>
      <c r="M67" s="260"/>
      <c r="N67" s="260"/>
      <c r="O67" s="260"/>
      <c r="P67" s="260"/>
      <c r="Q67" s="260"/>
      <c r="R67" s="260"/>
      <c r="S67" s="260"/>
      <c r="T67" s="260"/>
      <c r="U67" s="260"/>
      <c r="V67" s="260"/>
      <c r="W67" s="260"/>
      <c r="X67" s="260"/>
      <c r="Y67" s="260"/>
      <c r="Z67" s="260"/>
      <c r="AA67" s="260"/>
      <c r="AB67" s="273"/>
      <c r="AC67" s="277"/>
      <c r="AD67" s="260"/>
      <c r="AE67" s="260"/>
      <c r="AF67" s="260"/>
      <c r="AG67" s="260"/>
      <c r="AH67" s="339"/>
      <c r="AI67" s="339"/>
      <c r="AJ67" s="339"/>
    </row>
    <row r="68" spans="1:36" ht="38.25" x14ac:dyDescent="0.25">
      <c r="A68" s="339"/>
      <c r="B68" s="355" t="s">
        <v>1175</v>
      </c>
      <c r="C68" s="276">
        <v>1161</v>
      </c>
      <c r="D68" s="260"/>
      <c r="E68" s="260"/>
      <c r="F68" s="260"/>
      <c r="G68" s="260"/>
      <c r="H68" s="260"/>
      <c r="I68" s="260"/>
      <c r="J68" s="350" t="s">
        <v>1176</v>
      </c>
      <c r="K68" s="257" t="s">
        <v>802</v>
      </c>
      <c r="L68" s="260"/>
      <c r="M68" s="260"/>
      <c r="N68" s="260"/>
      <c r="O68" s="260"/>
      <c r="P68" s="260"/>
      <c r="Q68" s="260"/>
      <c r="R68" s="260"/>
      <c r="S68" s="260"/>
      <c r="T68" s="260"/>
      <c r="U68" s="260"/>
      <c r="V68" s="260"/>
      <c r="W68" s="260"/>
      <c r="X68" s="260"/>
      <c r="Y68" s="260"/>
      <c r="Z68" s="260"/>
      <c r="AA68" s="260"/>
      <c r="AB68" s="273"/>
      <c r="AC68" s="277"/>
      <c r="AD68" s="260"/>
      <c r="AE68" s="260"/>
      <c r="AF68" s="260"/>
      <c r="AG68" s="260"/>
      <c r="AH68" s="339"/>
      <c r="AI68" s="339"/>
      <c r="AJ68" s="339"/>
    </row>
    <row r="69" spans="1:36" ht="51" x14ac:dyDescent="0.25">
      <c r="A69" s="339"/>
      <c r="B69" s="355" t="s">
        <v>1177</v>
      </c>
      <c r="C69" s="276">
        <v>1162</v>
      </c>
      <c r="D69" s="260"/>
      <c r="E69" s="260"/>
      <c r="F69" s="260"/>
      <c r="G69" s="260"/>
      <c r="H69" s="260"/>
      <c r="I69" s="260"/>
      <c r="J69" s="350" t="s">
        <v>1178</v>
      </c>
      <c r="K69" s="257" t="s">
        <v>803</v>
      </c>
      <c r="L69" s="260"/>
      <c r="M69" s="260"/>
      <c r="N69" s="260"/>
      <c r="O69" s="260"/>
      <c r="P69" s="260"/>
      <c r="Q69" s="260"/>
      <c r="R69" s="260"/>
      <c r="S69" s="260"/>
      <c r="T69" s="260"/>
      <c r="U69" s="260"/>
      <c r="V69" s="260"/>
      <c r="W69" s="260"/>
      <c r="X69" s="260"/>
      <c r="Y69" s="260"/>
      <c r="Z69" s="260"/>
      <c r="AA69" s="260"/>
      <c r="AB69" s="273"/>
      <c r="AC69" s="277"/>
      <c r="AD69" s="260"/>
      <c r="AE69" s="260"/>
      <c r="AF69" s="260"/>
      <c r="AG69" s="260"/>
      <c r="AH69" s="339"/>
      <c r="AI69" s="339"/>
      <c r="AJ69" s="339"/>
    </row>
    <row r="70" spans="1:36" ht="51" x14ac:dyDescent="0.25">
      <c r="A70" s="339"/>
      <c r="B70" s="355" t="s">
        <v>1179</v>
      </c>
      <c r="C70" s="276">
        <v>1163</v>
      </c>
      <c r="D70" s="260"/>
      <c r="E70" s="260"/>
      <c r="F70" s="260"/>
      <c r="G70" s="260"/>
      <c r="H70" s="260"/>
      <c r="I70" s="260"/>
      <c r="J70" s="350" t="s">
        <v>1180</v>
      </c>
      <c r="K70" s="257" t="s">
        <v>804</v>
      </c>
      <c r="L70" s="260"/>
      <c r="M70" s="260"/>
      <c r="N70" s="260"/>
      <c r="O70" s="260"/>
      <c r="P70" s="260"/>
      <c r="Q70" s="260"/>
      <c r="R70" s="260"/>
      <c r="S70" s="260"/>
      <c r="T70" s="260"/>
      <c r="U70" s="260"/>
      <c r="V70" s="260"/>
      <c r="W70" s="260"/>
      <c r="X70" s="260"/>
      <c r="Y70" s="260"/>
      <c r="Z70" s="260"/>
      <c r="AA70" s="260"/>
      <c r="AB70" s="273"/>
      <c r="AC70" s="277"/>
      <c r="AD70" s="260"/>
      <c r="AE70" s="260"/>
      <c r="AF70" s="260"/>
      <c r="AG70" s="260"/>
      <c r="AH70" s="339"/>
      <c r="AI70" s="339"/>
      <c r="AJ70" s="339"/>
    </row>
    <row r="71" spans="1:36" ht="25.5" x14ac:dyDescent="0.25">
      <c r="A71" s="339"/>
      <c r="B71" s="355" t="s">
        <v>1181</v>
      </c>
      <c r="C71" s="276">
        <v>1164</v>
      </c>
      <c r="D71" s="260"/>
      <c r="E71" s="260"/>
      <c r="F71" s="260"/>
      <c r="G71" s="260"/>
      <c r="H71" s="260"/>
      <c r="I71" s="260"/>
      <c r="J71" s="350" t="s">
        <v>1182</v>
      </c>
      <c r="K71" s="257" t="s">
        <v>805</v>
      </c>
      <c r="L71" s="260"/>
      <c r="M71" s="260"/>
      <c r="N71" s="260"/>
      <c r="O71" s="260"/>
      <c r="P71" s="260"/>
      <c r="Q71" s="260"/>
      <c r="R71" s="260"/>
      <c r="S71" s="260"/>
      <c r="T71" s="260"/>
      <c r="U71" s="260"/>
      <c r="V71" s="260"/>
      <c r="W71" s="260"/>
      <c r="X71" s="260"/>
      <c r="Y71" s="260"/>
      <c r="Z71" s="260"/>
      <c r="AA71" s="260"/>
      <c r="AB71" s="273"/>
      <c r="AC71" s="277"/>
      <c r="AD71" s="260"/>
      <c r="AE71" s="260"/>
      <c r="AF71" s="260"/>
      <c r="AG71" s="260"/>
      <c r="AH71" s="339"/>
      <c r="AI71" s="339"/>
      <c r="AJ71" s="339"/>
    </row>
    <row r="72" spans="1:36" ht="63.75" x14ac:dyDescent="0.25">
      <c r="A72" s="339"/>
      <c r="B72" s="355" t="s">
        <v>1183</v>
      </c>
      <c r="C72" s="276">
        <v>1165</v>
      </c>
      <c r="D72" s="260"/>
      <c r="E72" s="260"/>
      <c r="F72" s="260"/>
      <c r="G72" s="260"/>
      <c r="H72" s="260"/>
      <c r="I72" s="260"/>
      <c r="J72" s="350" t="s">
        <v>1184</v>
      </c>
      <c r="K72" s="257" t="s">
        <v>806</v>
      </c>
      <c r="L72" s="260"/>
      <c r="M72" s="260"/>
      <c r="N72" s="260"/>
      <c r="O72" s="260"/>
      <c r="P72" s="260"/>
      <c r="Q72" s="260"/>
      <c r="R72" s="260"/>
      <c r="S72" s="260"/>
      <c r="T72" s="260"/>
      <c r="U72" s="260"/>
      <c r="V72" s="260"/>
      <c r="W72" s="260"/>
      <c r="X72" s="260"/>
      <c r="Y72" s="260"/>
      <c r="Z72" s="260"/>
      <c r="AA72" s="260"/>
      <c r="AB72" s="273"/>
      <c r="AC72" s="277"/>
      <c r="AD72" s="260"/>
      <c r="AE72" s="260"/>
      <c r="AF72" s="260"/>
      <c r="AG72" s="260"/>
      <c r="AH72" s="339"/>
      <c r="AI72" s="339"/>
      <c r="AJ72" s="339"/>
    </row>
    <row r="73" spans="1:36" ht="38.25" x14ac:dyDescent="0.25">
      <c r="A73" s="339"/>
      <c r="B73" s="355" t="s">
        <v>1185</v>
      </c>
      <c r="C73" s="276">
        <v>1166</v>
      </c>
      <c r="D73" s="260"/>
      <c r="E73" s="260"/>
      <c r="F73" s="260"/>
      <c r="G73" s="260"/>
      <c r="H73" s="260"/>
      <c r="I73" s="260"/>
      <c r="J73" s="350" t="s">
        <v>1186</v>
      </c>
      <c r="K73" s="257" t="s">
        <v>807</v>
      </c>
      <c r="L73" s="260"/>
      <c r="M73" s="260"/>
      <c r="N73" s="260"/>
      <c r="O73" s="260"/>
      <c r="P73" s="260"/>
      <c r="Q73" s="260"/>
      <c r="R73" s="260"/>
      <c r="S73" s="260"/>
      <c r="T73" s="260"/>
      <c r="U73" s="260"/>
      <c r="V73" s="260"/>
      <c r="W73" s="260"/>
      <c r="X73" s="260"/>
      <c r="Y73" s="260"/>
      <c r="Z73" s="260"/>
      <c r="AA73" s="260"/>
      <c r="AB73" s="273"/>
      <c r="AC73" s="277"/>
      <c r="AD73" s="260"/>
      <c r="AE73" s="260"/>
      <c r="AF73" s="260"/>
      <c r="AG73" s="260"/>
      <c r="AH73" s="339"/>
      <c r="AI73" s="339"/>
      <c r="AJ73" s="339"/>
    </row>
    <row r="74" spans="1:36" ht="51" x14ac:dyDescent="0.25">
      <c r="A74" s="339"/>
      <c r="B74" s="355" t="s">
        <v>1187</v>
      </c>
      <c r="C74" s="276">
        <v>1167</v>
      </c>
      <c r="D74" s="339"/>
      <c r="E74" s="339"/>
      <c r="F74" s="339"/>
      <c r="G74" s="339"/>
      <c r="H74" s="339"/>
      <c r="I74" s="339"/>
      <c r="J74" s="350" t="s">
        <v>1188</v>
      </c>
      <c r="K74" s="257" t="s">
        <v>808</v>
      </c>
      <c r="L74" s="339"/>
      <c r="M74" s="339"/>
      <c r="N74" s="339"/>
      <c r="O74" s="339"/>
      <c r="P74" s="339"/>
      <c r="Q74" s="339"/>
      <c r="R74" s="339"/>
      <c r="S74" s="339"/>
      <c r="T74" s="339"/>
      <c r="U74" s="339"/>
      <c r="V74" s="339"/>
      <c r="W74" s="339"/>
      <c r="X74" s="339"/>
      <c r="Y74" s="339"/>
      <c r="Z74" s="339"/>
      <c r="AA74" s="339"/>
      <c r="AB74" s="273"/>
      <c r="AC74" s="277"/>
      <c r="AD74" s="339"/>
      <c r="AE74" s="339"/>
      <c r="AF74" s="339"/>
      <c r="AG74" s="339"/>
      <c r="AH74" s="339"/>
      <c r="AI74" s="339"/>
      <c r="AJ74" s="339"/>
    </row>
    <row r="75" spans="1:36" ht="63.75" x14ac:dyDescent="0.25">
      <c r="A75" s="339"/>
      <c r="B75" s="355" t="s">
        <v>1189</v>
      </c>
      <c r="C75" s="276">
        <v>1168</v>
      </c>
      <c r="D75" s="339"/>
      <c r="E75" s="339"/>
      <c r="F75" s="339"/>
      <c r="G75" s="339"/>
      <c r="H75" s="339"/>
      <c r="I75" s="339"/>
      <c r="J75" s="350" t="s">
        <v>1190</v>
      </c>
      <c r="K75" s="257" t="s">
        <v>809</v>
      </c>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row>
    <row r="76" spans="1:36" ht="51" x14ac:dyDescent="0.25">
      <c r="A76" s="339"/>
      <c r="B76" s="355" t="s">
        <v>1191</v>
      </c>
      <c r="C76" s="276">
        <v>1169</v>
      </c>
      <c r="D76" s="339"/>
      <c r="E76" s="339"/>
      <c r="F76" s="339"/>
      <c r="G76" s="339"/>
      <c r="H76" s="339"/>
      <c r="I76" s="339"/>
      <c r="J76" s="350" t="s">
        <v>1192</v>
      </c>
      <c r="K76" s="257" t="s">
        <v>810</v>
      </c>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339"/>
    </row>
    <row r="77" spans="1:36" ht="38.25" x14ac:dyDescent="0.25">
      <c r="A77" s="339"/>
      <c r="B77" s="355" t="s">
        <v>1193</v>
      </c>
      <c r="C77" s="276">
        <v>1170</v>
      </c>
      <c r="D77" s="339"/>
      <c r="E77" s="339"/>
      <c r="F77" s="339"/>
      <c r="G77" s="339"/>
      <c r="H77" s="339"/>
      <c r="I77" s="339"/>
      <c r="J77" s="350" t="s">
        <v>1194</v>
      </c>
      <c r="K77" s="257" t="s">
        <v>811</v>
      </c>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row>
    <row r="78" spans="1:36" ht="25.5" x14ac:dyDescent="0.25">
      <c r="A78" s="339"/>
      <c r="B78" s="355" t="s">
        <v>1195</v>
      </c>
      <c r="C78" s="276">
        <v>1171</v>
      </c>
      <c r="D78" s="339"/>
      <c r="E78" s="339"/>
      <c r="F78" s="339"/>
      <c r="G78" s="339"/>
      <c r="H78" s="339"/>
      <c r="I78" s="339"/>
      <c r="J78" s="350" t="s">
        <v>1196</v>
      </c>
      <c r="K78" s="257" t="s">
        <v>812</v>
      </c>
      <c r="L78" s="339"/>
      <c r="M78" s="339"/>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row>
    <row r="79" spans="1:36" ht="25.5" x14ac:dyDescent="0.25">
      <c r="A79" s="339"/>
      <c r="B79" s="355" t="s">
        <v>1197</v>
      </c>
      <c r="C79" s="276">
        <v>1172</v>
      </c>
      <c r="D79" s="339"/>
      <c r="E79" s="339"/>
      <c r="F79" s="339"/>
      <c r="G79" s="339"/>
      <c r="H79" s="339"/>
      <c r="I79" s="339"/>
      <c r="J79" s="350" t="s">
        <v>1198</v>
      </c>
      <c r="K79" s="257" t="s">
        <v>813</v>
      </c>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row>
    <row r="80" spans="1:36" ht="76.5" x14ac:dyDescent="0.25">
      <c r="A80" s="339"/>
      <c r="B80" s="355" t="s">
        <v>1199</v>
      </c>
      <c r="C80" s="276">
        <v>1173</v>
      </c>
      <c r="D80" s="339"/>
      <c r="E80" s="339"/>
      <c r="F80" s="339"/>
      <c r="G80" s="339"/>
      <c r="H80" s="339"/>
      <c r="I80" s="339"/>
      <c r="J80" s="350" t="s">
        <v>1200</v>
      </c>
      <c r="K80" s="257" t="s">
        <v>814</v>
      </c>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row>
    <row r="81" spans="1:36" ht="38.25" x14ac:dyDescent="0.25">
      <c r="A81" s="339"/>
      <c r="B81" s="355" t="s">
        <v>1201</v>
      </c>
      <c r="C81" s="276">
        <v>1174</v>
      </c>
      <c r="D81" s="339"/>
      <c r="E81" s="339"/>
      <c r="F81" s="339"/>
      <c r="G81" s="339"/>
      <c r="H81" s="339"/>
      <c r="I81" s="339"/>
      <c r="J81" s="350" t="s">
        <v>1202</v>
      </c>
      <c r="K81" s="257" t="s">
        <v>815</v>
      </c>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row>
    <row r="82" spans="1:36" ht="51" x14ac:dyDescent="0.25">
      <c r="A82" s="339"/>
      <c r="B82" s="355" t="s">
        <v>1203</v>
      </c>
      <c r="C82" s="276">
        <v>1175</v>
      </c>
      <c r="D82" s="339"/>
      <c r="E82" s="339"/>
      <c r="F82" s="339"/>
      <c r="G82" s="339"/>
      <c r="H82" s="339"/>
      <c r="I82" s="339"/>
      <c r="J82" s="350" t="s">
        <v>1204</v>
      </c>
      <c r="K82" s="257" t="s">
        <v>816</v>
      </c>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9"/>
      <c r="AI82" s="339"/>
      <c r="AJ82" s="339"/>
    </row>
    <row r="83" spans="1:36" ht="38.25" x14ac:dyDescent="0.25">
      <c r="A83" s="339"/>
      <c r="B83" s="355" t="s">
        <v>1205</v>
      </c>
      <c r="C83" s="276">
        <v>1176</v>
      </c>
      <c r="D83" s="339"/>
      <c r="E83" s="339"/>
      <c r="F83" s="339"/>
      <c r="G83" s="339"/>
      <c r="H83" s="339"/>
      <c r="I83" s="339"/>
      <c r="J83" s="350" t="s">
        <v>1206</v>
      </c>
      <c r="K83" s="257" t="s">
        <v>817</v>
      </c>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39"/>
    </row>
    <row r="84" spans="1:36" ht="38.25" x14ac:dyDescent="0.25">
      <c r="A84" s="339"/>
      <c r="B84" s="355" t="s">
        <v>1207</v>
      </c>
      <c r="C84" s="276">
        <v>1177</v>
      </c>
      <c r="D84" s="339"/>
      <c r="E84" s="339"/>
      <c r="F84" s="339"/>
      <c r="G84" s="339"/>
      <c r="H84" s="339"/>
      <c r="I84" s="339"/>
      <c r="J84" s="350" t="s">
        <v>1208</v>
      </c>
      <c r="K84" s="257" t="s">
        <v>818</v>
      </c>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row>
    <row r="85" spans="1:36" ht="76.5" x14ac:dyDescent="0.25">
      <c r="A85" s="339"/>
      <c r="B85" s="355" t="s">
        <v>1209</v>
      </c>
      <c r="C85" s="276">
        <v>1178</v>
      </c>
      <c r="D85" s="339"/>
      <c r="E85" s="339"/>
      <c r="F85" s="339"/>
      <c r="G85" s="339"/>
      <c r="H85" s="339"/>
      <c r="I85" s="339"/>
      <c r="J85" s="350" t="s">
        <v>1210</v>
      </c>
      <c r="K85" s="257" t="s">
        <v>819</v>
      </c>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39"/>
    </row>
    <row r="86" spans="1:36" ht="51" x14ac:dyDescent="0.25">
      <c r="A86" s="339"/>
      <c r="B86" s="355" t="s">
        <v>1211</v>
      </c>
      <c r="C86" s="276">
        <v>1179</v>
      </c>
      <c r="D86" s="339"/>
      <c r="E86" s="339"/>
      <c r="F86" s="339"/>
      <c r="G86" s="339"/>
      <c r="H86" s="339"/>
      <c r="I86" s="339"/>
      <c r="J86" s="350" t="s">
        <v>1212</v>
      </c>
      <c r="K86" s="257" t="s">
        <v>820</v>
      </c>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39"/>
    </row>
    <row r="87" spans="1:36" ht="51" x14ac:dyDescent="0.25">
      <c r="A87" s="339"/>
      <c r="B87" s="355" t="s">
        <v>1213</v>
      </c>
      <c r="C87" s="276">
        <v>1180</v>
      </c>
      <c r="D87" s="339"/>
      <c r="E87" s="339"/>
      <c r="F87" s="339"/>
      <c r="G87" s="339"/>
      <c r="H87" s="339"/>
      <c r="I87" s="339"/>
      <c r="J87" s="350" t="s">
        <v>1214</v>
      </c>
      <c r="K87" s="257" t="s">
        <v>821</v>
      </c>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row>
    <row r="88" spans="1:36" ht="38.25" x14ac:dyDescent="0.25">
      <c r="A88" s="339"/>
      <c r="B88" s="355" t="s">
        <v>1215</v>
      </c>
      <c r="C88" s="276">
        <v>1181</v>
      </c>
      <c r="D88" s="339"/>
      <c r="E88" s="339"/>
      <c r="F88" s="339"/>
      <c r="G88" s="339"/>
      <c r="H88" s="339"/>
      <c r="I88" s="339"/>
      <c r="J88" s="350" t="s">
        <v>1216</v>
      </c>
      <c r="K88" s="257" t="s">
        <v>822</v>
      </c>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row>
    <row r="89" spans="1:36" ht="51" x14ac:dyDescent="0.25">
      <c r="A89" s="339"/>
      <c r="B89" s="355" t="s">
        <v>1217</v>
      </c>
      <c r="C89" s="276">
        <v>1182</v>
      </c>
      <c r="D89" s="339"/>
      <c r="E89" s="339"/>
      <c r="F89" s="339"/>
      <c r="G89" s="339"/>
      <c r="H89" s="339"/>
      <c r="I89" s="339"/>
      <c r="J89" s="350" t="s">
        <v>1218</v>
      </c>
      <c r="K89" s="257" t="s">
        <v>823</v>
      </c>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row>
    <row r="90" spans="1:36" ht="51" x14ac:dyDescent="0.25">
      <c r="A90" s="339"/>
      <c r="B90" s="355" t="s">
        <v>1219</v>
      </c>
      <c r="C90" s="276">
        <v>1183</v>
      </c>
      <c r="D90" s="339"/>
      <c r="E90" s="339"/>
      <c r="F90" s="339"/>
      <c r="G90" s="339"/>
      <c r="H90" s="339"/>
      <c r="I90" s="339"/>
      <c r="J90" s="350" t="s">
        <v>1220</v>
      </c>
      <c r="K90" s="257" t="s">
        <v>824</v>
      </c>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row>
    <row r="91" spans="1:36" ht="38.25" x14ac:dyDescent="0.25">
      <c r="A91" s="339"/>
      <c r="B91" s="355" t="s">
        <v>1221</v>
      </c>
      <c r="C91" s="276">
        <v>1184</v>
      </c>
      <c r="D91" s="339"/>
      <c r="E91" s="339"/>
      <c r="F91" s="339"/>
      <c r="G91" s="339"/>
      <c r="H91" s="339"/>
      <c r="I91" s="339"/>
      <c r="J91" s="350" t="s">
        <v>1222</v>
      </c>
      <c r="K91" s="257" t="s">
        <v>825</v>
      </c>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39"/>
    </row>
    <row r="92" spans="1:36" ht="25.5" x14ac:dyDescent="0.25">
      <c r="A92" s="339"/>
      <c r="B92" s="355" t="s">
        <v>1223</v>
      </c>
      <c r="C92" s="276">
        <v>1185</v>
      </c>
      <c r="D92" s="339"/>
      <c r="E92" s="339"/>
      <c r="F92" s="339"/>
      <c r="G92" s="339"/>
      <c r="H92" s="339"/>
      <c r="I92" s="339"/>
      <c r="J92" s="350" t="s">
        <v>1224</v>
      </c>
      <c r="K92" s="257" t="s">
        <v>826</v>
      </c>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339"/>
    </row>
    <row r="93" spans="1:36" ht="38.25" x14ac:dyDescent="0.25">
      <c r="A93" s="339"/>
      <c r="B93" s="355" t="s">
        <v>1225</v>
      </c>
      <c r="C93" s="276">
        <v>1186</v>
      </c>
      <c r="D93" s="339"/>
      <c r="E93" s="339"/>
      <c r="F93" s="339"/>
      <c r="G93" s="339"/>
      <c r="H93" s="339"/>
      <c r="I93" s="339"/>
      <c r="J93" s="350" t="s">
        <v>1226</v>
      </c>
      <c r="K93" s="257" t="s">
        <v>827</v>
      </c>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row>
    <row r="94" spans="1:36" ht="38.25" x14ac:dyDescent="0.25">
      <c r="A94" s="339"/>
      <c r="B94" s="355" t="s">
        <v>1227</v>
      </c>
      <c r="C94" s="276">
        <v>1187</v>
      </c>
      <c r="D94" s="339"/>
      <c r="E94" s="339"/>
      <c r="F94" s="339"/>
      <c r="G94" s="339"/>
      <c r="H94" s="339"/>
      <c r="I94" s="339"/>
      <c r="J94" s="350" t="s">
        <v>1228</v>
      </c>
      <c r="K94" s="257" t="s">
        <v>828</v>
      </c>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9"/>
      <c r="AI94" s="339"/>
      <c r="AJ94" s="339"/>
    </row>
    <row r="95" spans="1:36" ht="38.25" x14ac:dyDescent="0.25">
      <c r="A95" s="339"/>
      <c r="B95" s="355" t="s">
        <v>1229</v>
      </c>
      <c r="C95" s="276">
        <v>1188</v>
      </c>
      <c r="D95" s="339"/>
      <c r="E95" s="339"/>
      <c r="F95" s="339"/>
      <c r="G95" s="339"/>
      <c r="H95" s="339"/>
      <c r="I95" s="339"/>
      <c r="J95" s="350" t="s">
        <v>1230</v>
      </c>
      <c r="K95" s="257" t="s">
        <v>829</v>
      </c>
      <c r="L95" s="339"/>
      <c r="M95" s="339"/>
      <c r="N95" s="339"/>
      <c r="O95" s="339"/>
      <c r="P95" s="339"/>
      <c r="Q95" s="339"/>
      <c r="R95" s="339"/>
      <c r="S95" s="339"/>
      <c r="T95" s="339"/>
      <c r="U95" s="339"/>
      <c r="V95" s="339"/>
      <c r="W95" s="339"/>
      <c r="X95" s="339"/>
      <c r="Y95" s="339"/>
      <c r="Z95" s="339"/>
      <c r="AA95" s="339"/>
      <c r="AB95" s="339"/>
      <c r="AC95" s="339"/>
      <c r="AD95" s="339"/>
      <c r="AE95" s="339"/>
      <c r="AF95" s="339"/>
      <c r="AG95" s="339"/>
      <c r="AH95" s="339"/>
      <c r="AI95" s="339"/>
      <c r="AJ95" s="339"/>
    </row>
    <row r="96" spans="1:36" ht="63.75" x14ac:dyDescent="0.25">
      <c r="A96" s="339"/>
      <c r="B96" s="355" t="s">
        <v>1231</v>
      </c>
      <c r="C96" s="276">
        <v>1189</v>
      </c>
      <c r="D96" s="339"/>
      <c r="E96" s="339"/>
      <c r="F96" s="339"/>
      <c r="G96" s="339"/>
      <c r="H96" s="339"/>
      <c r="I96" s="339"/>
      <c r="J96" s="350" t="s">
        <v>1232</v>
      </c>
      <c r="K96" s="257" t="s">
        <v>830</v>
      </c>
      <c r="L96" s="339"/>
      <c r="M96" s="339"/>
      <c r="N96" s="339"/>
      <c r="O96" s="339"/>
      <c r="P96" s="339"/>
      <c r="Q96" s="339"/>
      <c r="R96" s="339"/>
      <c r="S96" s="339"/>
      <c r="T96" s="339"/>
      <c r="U96" s="339"/>
      <c r="V96" s="339"/>
      <c r="W96" s="339"/>
      <c r="X96" s="339"/>
      <c r="Y96" s="339"/>
      <c r="Z96" s="339"/>
      <c r="AA96" s="339"/>
      <c r="AB96" s="339"/>
      <c r="AC96" s="339"/>
      <c r="AD96" s="339"/>
      <c r="AE96" s="339"/>
      <c r="AF96" s="339"/>
      <c r="AG96" s="339"/>
      <c r="AH96" s="339"/>
      <c r="AI96" s="339"/>
      <c r="AJ96" s="339"/>
    </row>
    <row r="97" spans="1:36" ht="51" x14ac:dyDescent="0.25">
      <c r="A97" s="339"/>
      <c r="B97" s="355" t="s">
        <v>1233</v>
      </c>
      <c r="C97" s="276">
        <v>1190</v>
      </c>
      <c r="D97" s="339"/>
      <c r="E97" s="339"/>
      <c r="F97" s="339"/>
      <c r="G97" s="339"/>
      <c r="H97" s="339"/>
      <c r="I97" s="339"/>
      <c r="J97" s="350" t="s">
        <v>1234</v>
      </c>
      <c r="K97" s="257" t="s">
        <v>831</v>
      </c>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row>
    <row r="98" spans="1:36" ht="63.75" x14ac:dyDescent="0.25">
      <c r="A98" s="339"/>
      <c r="B98" s="355" t="s">
        <v>1235</v>
      </c>
      <c r="C98" s="276">
        <v>1191</v>
      </c>
      <c r="D98" s="339"/>
      <c r="E98" s="339"/>
      <c r="F98" s="339"/>
      <c r="G98" s="339"/>
      <c r="H98" s="339"/>
      <c r="I98" s="339"/>
      <c r="J98" s="350" t="s">
        <v>1236</v>
      </c>
      <c r="K98" s="257" t="s">
        <v>832</v>
      </c>
      <c r="L98" s="339"/>
      <c r="M98" s="339"/>
      <c r="N98" s="339"/>
      <c r="O98" s="339"/>
      <c r="P98" s="339"/>
      <c r="Q98" s="339"/>
      <c r="R98" s="339"/>
      <c r="S98" s="339"/>
      <c r="T98" s="339"/>
      <c r="U98" s="339"/>
      <c r="V98" s="339"/>
      <c r="W98" s="339"/>
      <c r="X98" s="339"/>
      <c r="Y98" s="339"/>
      <c r="Z98" s="339"/>
      <c r="AA98" s="339"/>
      <c r="AB98" s="339"/>
      <c r="AC98" s="339"/>
      <c r="AD98" s="339"/>
      <c r="AE98" s="339"/>
      <c r="AF98" s="339"/>
      <c r="AG98" s="339"/>
      <c r="AH98" s="339"/>
      <c r="AI98" s="339"/>
      <c r="AJ98" s="339"/>
    </row>
    <row r="99" spans="1:36" ht="51.75" thickBot="1" x14ac:dyDescent="0.3">
      <c r="A99" s="339"/>
      <c r="B99" s="355" t="s">
        <v>1237</v>
      </c>
      <c r="C99" s="276">
        <v>1192</v>
      </c>
      <c r="D99" s="339"/>
      <c r="E99" s="339"/>
      <c r="F99" s="339"/>
      <c r="G99" s="339"/>
      <c r="H99" s="339"/>
      <c r="I99" s="339"/>
      <c r="J99" s="353" t="s">
        <v>1238</v>
      </c>
      <c r="K99" s="259" t="s">
        <v>833</v>
      </c>
      <c r="L99" s="339"/>
      <c r="M99" s="339"/>
      <c r="N99" s="339"/>
      <c r="O99" s="339"/>
      <c r="P99" s="339"/>
      <c r="Q99" s="339"/>
      <c r="R99" s="339"/>
      <c r="S99" s="339"/>
      <c r="T99" s="339"/>
      <c r="U99" s="339"/>
      <c r="V99" s="339"/>
      <c r="W99" s="339"/>
      <c r="X99" s="339"/>
      <c r="Y99" s="339"/>
      <c r="Z99" s="339"/>
      <c r="AA99" s="339"/>
      <c r="AB99" s="339"/>
      <c r="AC99" s="339"/>
      <c r="AD99" s="339"/>
      <c r="AE99" s="339"/>
      <c r="AF99" s="339"/>
      <c r="AG99" s="339"/>
      <c r="AH99" s="339"/>
      <c r="AI99" s="339"/>
      <c r="AJ99" s="339"/>
    </row>
    <row r="100" spans="1:36" ht="51" x14ac:dyDescent="0.25">
      <c r="A100" s="339"/>
      <c r="B100" s="355" t="s">
        <v>1239</v>
      </c>
      <c r="C100" s="276">
        <v>1193</v>
      </c>
      <c r="D100" s="339"/>
      <c r="E100" s="339"/>
      <c r="F100" s="339"/>
      <c r="G100" s="339"/>
      <c r="H100" s="339"/>
      <c r="I100" s="339"/>
      <c r="J100" s="273"/>
      <c r="K100" s="277"/>
      <c r="L100" s="339"/>
      <c r="M100" s="339"/>
      <c r="N100" s="339"/>
      <c r="O100" s="339"/>
      <c r="P100" s="339"/>
      <c r="Q100" s="339"/>
      <c r="R100" s="339"/>
      <c r="S100" s="339"/>
      <c r="T100" s="339"/>
      <c r="U100" s="339"/>
      <c r="V100" s="339"/>
      <c r="W100" s="339"/>
      <c r="X100" s="339"/>
      <c r="Y100" s="339"/>
      <c r="Z100" s="339"/>
      <c r="AA100" s="339"/>
      <c r="AB100" s="339"/>
      <c r="AC100" s="339"/>
      <c r="AD100" s="339"/>
      <c r="AE100" s="339"/>
      <c r="AF100" s="339"/>
      <c r="AG100" s="339"/>
      <c r="AH100" s="339"/>
      <c r="AI100" s="339"/>
      <c r="AJ100" s="339"/>
    </row>
    <row r="101" spans="1:36" ht="51" x14ac:dyDescent="0.25">
      <c r="A101" s="339"/>
      <c r="B101" s="355" t="s">
        <v>1240</v>
      </c>
      <c r="C101" s="276">
        <v>1194</v>
      </c>
      <c r="D101" s="339"/>
      <c r="E101" s="339"/>
      <c r="F101" s="339"/>
      <c r="G101" s="339"/>
      <c r="H101" s="339"/>
      <c r="I101" s="339"/>
      <c r="J101" s="273"/>
      <c r="K101" s="277"/>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39"/>
    </row>
    <row r="102" spans="1:36" ht="51" x14ac:dyDescent="0.25">
      <c r="A102" s="339"/>
      <c r="B102" s="355" t="s">
        <v>1241</v>
      </c>
      <c r="C102" s="276">
        <v>1195</v>
      </c>
      <c r="D102" s="339"/>
      <c r="E102" s="339"/>
      <c r="F102" s="339"/>
      <c r="G102" s="339"/>
      <c r="H102" s="339"/>
      <c r="I102" s="339"/>
      <c r="J102" s="273"/>
      <c r="K102" s="277"/>
      <c r="L102" s="339"/>
      <c r="M102" s="339"/>
      <c r="N102" s="339"/>
      <c r="O102" s="339"/>
      <c r="P102" s="339"/>
      <c r="Q102" s="339"/>
      <c r="R102" s="339"/>
      <c r="S102" s="339"/>
      <c r="T102" s="339"/>
      <c r="U102" s="339"/>
      <c r="V102" s="339"/>
      <c r="W102" s="339"/>
      <c r="X102" s="339"/>
      <c r="Y102" s="339"/>
      <c r="Z102" s="339"/>
      <c r="AA102" s="339"/>
      <c r="AB102" s="339"/>
      <c r="AC102" s="339"/>
      <c r="AD102" s="339"/>
      <c r="AE102" s="339"/>
      <c r="AF102" s="339"/>
      <c r="AG102" s="339"/>
      <c r="AH102" s="339"/>
      <c r="AI102" s="339"/>
      <c r="AJ102" s="339"/>
    </row>
    <row r="103" spans="1:36" ht="51" x14ac:dyDescent="0.25">
      <c r="A103" s="339"/>
      <c r="B103" s="355" t="s">
        <v>1242</v>
      </c>
      <c r="C103" s="276">
        <v>1196</v>
      </c>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row>
    <row r="104" spans="1:36" ht="38.25" x14ac:dyDescent="0.25">
      <c r="A104" s="339"/>
      <c r="B104" s="355" t="s">
        <v>1243</v>
      </c>
      <c r="C104" s="276">
        <v>1197</v>
      </c>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row>
    <row r="105" spans="1:36" ht="38.25" x14ac:dyDescent="0.25">
      <c r="A105" s="339"/>
      <c r="B105" s="355" t="s">
        <v>1244</v>
      </c>
      <c r="C105" s="276">
        <v>1198</v>
      </c>
      <c r="D105" s="339"/>
      <c r="E105" s="339"/>
      <c r="F105" s="339"/>
      <c r="G105" s="339"/>
      <c r="H105" s="339"/>
      <c r="I105" s="339"/>
      <c r="J105" s="339"/>
      <c r="K105" s="339"/>
      <c r="L105" s="339"/>
      <c r="M105" s="339"/>
      <c r="N105" s="339"/>
      <c r="O105" s="339"/>
      <c r="P105" s="339"/>
      <c r="Q105" s="339"/>
      <c r="R105" s="339"/>
      <c r="S105" s="339"/>
      <c r="T105" s="339"/>
      <c r="U105" s="339"/>
      <c r="V105" s="339"/>
      <c r="W105" s="339"/>
      <c r="X105" s="339"/>
      <c r="Y105" s="339"/>
      <c r="Z105" s="339"/>
      <c r="AA105" s="339"/>
      <c r="AB105" s="339"/>
      <c r="AC105" s="339"/>
      <c r="AD105" s="339"/>
      <c r="AE105" s="339"/>
      <c r="AF105" s="339"/>
      <c r="AG105" s="339"/>
      <c r="AH105" s="339"/>
      <c r="AI105" s="339"/>
      <c r="AJ105" s="339"/>
    </row>
    <row r="106" spans="1:36" ht="51" x14ac:dyDescent="0.25">
      <c r="A106" s="339"/>
      <c r="B106" s="355" t="s">
        <v>1292</v>
      </c>
      <c r="C106" s="276">
        <v>1199</v>
      </c>
      <c r="D106" s="339"/>
      <c r="E106" s="339"/>
      <c r="F106" s="339"/>
      <c r="G106" s="339"/>
      <c r="H106" s="339"/>
      <c r="I106" s="339"/>
      <c r="J106" s="339"/>
      <c r="K106" s="339"/>
      <c r="L106" s="339"/>
      <c r="M106" s="339"/>
      <c r="N106" s="339"/>
      <c r="O106" s="339"/>
      <c r="P106" s="339"/>
      <c r="Q106" s="339"/>
      <c r="R106" s="339"/>
      <c r="S106" s="339"/>
      <c r="T106" s="339"/>
      <c r="U106" s="339"/>
      <c r="V106" s="339"/>
      <c r="W106" s="339"/>
      <c r="X106" s="339"/>
      <c r="Y106" s="339"/>
      <c r="Z106" s="339"/>
      <c r="AA106" s="339"/>
      <c r="AB106" s="339"/>
      <c r="AC106" s="339"/>
      <c r="AD106" s="339"/>
      <c r="AE106" s="339"/>
      <c r="AF106" s="339"/>
      <c r="AG106" s="339"/>
      <c r="AH106" s="339"/>
      <c r="AI106" s="339"/>
      <c r="AJ106" s="339"/>
    </row>
    <row r="107" spans="1:36" ht="51" x14ac:dyDescent="0.25">
      <c r="A107" s="339"/>
      <c r="B107" s="355" t="s">
        <v>1293</v>
      </c>
      <c r="C107" s="276">
        <v>1200</v>
      </c>
      <c r="D107" s="339"/>
      <c r="E107" s="339"/>
      <c r="F107" s="339"/>
      <c r="G107" s="339"/>
      <c r="H107" s="339"/>
      <c r="I107" s="339"/>
      <c r="J107" s="339"/>
      <c r="K107" s="339"/>
      <c r="L107" s="339"/>
      <c r="M107" s="339"/>
      <c r="N107" s="339"/>
      <c r="O107" s="339"/>
      <c r="P107" s="339"/>
      <c r="Q107" s="339"/>
      <c r="R107" s="339"/>
      <c r="S107" s="339"/>
      <c r="T107" s="339"/>
      <c r="U107" s="339"/>
      <c r="V107" s="339"/>
      <c r="W107" s="339"/>
      <c r="X107" s="339"/>
      <c r="Y107" s="339"/>
      <c r="Z107" s="339"/>
      <c r="AA107" s="339"/>
      <c r="AB107" s="339"/>
      <c r="AC107" s="339"/>
      <c r="AD107" s="339"/>
      <c r="AE107" s="339"/>
      <c r="AF107" s="339"/>
      <c r="AG107" s="339"/>
      <c r="AH107" s="339"/>
      <c r="AI107" s="339"/>
      <c r="AJ107" s="339"/>
    </row>
    <row r="108" spans="1:36" ht="25.5" x14ac:dyDescent="0.25">
      <c r="A108" s="339"/>
      <c r="B108" s="355" t="s">
        <v>1294</v>
      </c>
      <c r="C108" s="276">
        <v>1201</v>
      </c>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row>
    <row r="109" spans="1:36" x14ac:dyDescent="0.25">
      <c r="A109" s="339"/>
      <c r="B109" s="355" t="s">
        <v>1295</v>
      </c>
      <c r="C109" s="276">
        <v>1202</v>
      </c>
      <c r="D109" s="339"/>
      <c r="E109" s="339"/>
      <c r="F109" s="339"/>
      <c r="G109" s="339"/>
      <c r="H109" s="339"/>
      <c r="I109" s="339"/>
      <c r="J109" s="339"/>
      <c r="K109" s="339"/>
      <c r="L109" s="339"/>
      <c r="M109" s="339"/>
      <c r="N109" s="339"/>
      <c r="O109" s="339"/>
      <c r="P109" s="339"/>
      <c r="Q109" s="339"/>
      <c r="R109" s="339"/>
      <c r="S109" s="339"/>
      <c r="T109" s="339"/>
      <c r="U109" s="339"/>
      <c r="V109" s="339"/>
      <c r="W109" s="339"/>
      <c r="X109" s="339"/>
      <c r="Y109" s="339"/>
      <c r="Z109" s="339"/>
      <c r="AA109" s="339"/>
      <c r="AB109" s="339"/>
      <c r="AC109" s="339"/>
      <c r="AD109" s="339"/>
      <c r="AE109" s="339"/>
      <c r="AF109" s="339"/>
      <c r="AG109" s="339"/>
      <c r="AH109" s="339"/>
      <c r="AI109" s="339"/>
      <c r="AJ109" s="339"/>
    </row>
    <row r="110" spans="1:36" x14ac:dyDescent="0.25">
      <c r="A110" s="339"/>
      <c r="B110" s="273"/>
      <c r="C110" s="274"/>
      <c r="D110" s="339"/>
      <c r="E110" s="339"/>
      <c r="F110" s="339"/>
      <c r="G110" s="339"/>
      <c r="H110" s="339"/>
      <c r="I110" s="339"/>
      <c r="J110" s="339"/>
      <c r="K110" s="339"/>
      <c r="L110" s="339"/>
      <c r="M110" s="339"/>
      <c r="N110" s="339"/>
      <c r="O110" s="339"/>
      <c r="P110" s="339"/>
      <c r="Q110" s="339"/>
      <c r="R110" s="339"/>
      <c r="S110" s="339"/>
      <c r="T110" s="339"/>
      <c r="U110" s="339"/>
      <c r="V110" s="339"/>
      <c r="W110" s="339"/>
      <c r="X110" s="339"/>
      <c r="Y110" s="339"/>
      <c r="Z110" s="339"/>
      <c r="AA110" s="339"/>
      <c r="AB110" s="339"/>
      <c r="AC110" s="339"/>
      <c r="AD110" s="339"/>
      <c r="AE110" s="339"/>
      <c r="AF110" s="339"/>
      <c r="AG110" s="339"/>
      <c r="AH110" s="339"/>
      <c r="AI110" s="339"/>
      <c r="AJ110" s="339"/>
    </row>
    <row r="111" spans="1:36" x14ac:dyDescent="0.25">
      <c r="B111" s="273"/>
      <c r="C111" s="274"/>
    </row>
    <row r="112" spans="1:36" x14ac:dyDescent="0.25">
      <c r="B112" s="273"/>
      <c r="C112" s="274"/>
    </row>
    <row r="113" spans="2:3" x14ac:dyDescent="0.25">
      <c r="B113" s="273"/>
      <c r="C113" s="274"/>
    </row>
    <row r="114" spans="2:3" x14ac:dyDescent="0.25">
      <c r="B114" s="273"/>
      <c r="C114" s="274"/>
    </row>
    <row r="115" spans="2:3" x14ac:dyDescent="0.25">
      <c r="B115" s="273"/>
      <c r="C115" s="274"/>
    </row>
    <row r="116" spans="2:3" x14ac:dyDescent="0.25">
      <c r="B116" s="273"/>
      <c r="C116" s="274"/>
    </row>
    <row r="117" spans="2:3" x14ac:dyDescent="0.25">
      <c r="B117" s="273"/>
      <c r="C117" s="274"/>
    </row>
    <row r="118" spans="2:3" x14ac:dyDescent="0.25">
      <c r="B118" s="273"/>
      <c r="C118" s="274"/>
    </row>
    <row r="119" spans="2:3" x14ac:dyDescent="0.25">
      <c r="B119" s="273"/>
      <c r="C119" s="274"/>
    </row>
    <row r="120" spans="2:3" x14ac:dyDescent="0.25">
      <c r="B120" s="273"/>
      <c r="C120" s="274"/>
    </row>
    <row r="121" spans="2:3" x14ac:dyDescent="0.25">
      <c r="B121" s="273"/>
      <c r="C121" s="274"/>
    </row>
    <row r="122" spans="2:3" x14ac:dyDescent="0.25">
      <c r="B122" s="273"/>
      <c r="C122" s="274"/>
    </row>
    <row r="123" spans="2:3" x14ac:dyDescent="0.25">
      <c r="B123" s="273"/>
      <c r="C123" s="274"/>
    </row>
    <row r="124" spans="2:3" x14ac:dyDescent="0.25">
      <c r="B124" s="273"/>
      <c r="C124" s="274"/>
    </row>
    <row r="125" spans="2:3" x14ac:dyDescent="0.25">
      <c r="B125" s="273"/>
      <c r="C125" s="274"/>
    </row>
    <row r="126" spans="2:3" x14ac:dyDescent="0.25">
      <c r="B126" s="273"/>
      <c r="C126" s="274"/>
    </row>
    <row r="127" spans="2:3" x14ac:dyDescent="0.25">
      <c r="B127" s="273"/>
      <c r="C127" s="274"/>
    </row>
    <row r="128" spans="2:3" x14ac:dyDescent="0.25">
      <c r="B128" s="273"/>
      <c r="C128" s="274"/>
    </row>
    <row r="129" spans="2:3" x14ac:dyDescent="0.25">
      <c r="B129" s="273"/>
      <c r="C129" s="274"/>
    </row>
    <row r="130" spans="2:3" x14ac:dyDescent="0.25">
      <c r="B130" s="273"/>
      <c r="C130" s="274"/>
    </row>
    <row r="131" spans="2:3" x14ac:dyDescent="0.25">
      <c r="B131" s="273"/>
      <c r="C131" s="274"/>
    </row>
    <row r="132" spans="2:3" x14ac:dyDescent="0.25">
      <c r="B132" s="273"/>
      <c r="C132" s="274"/>
    </row>
    <row r="133" spans="2:3" x14ac:dyDescent="0.25">
      <c r="B133" s="273"/>
      <c r="C133" s="274"/>
    </row>
    <row r="134" spans="2:3" x14ac:dyDescent="0.25">
      <c r="B134" s="273"/>
      <c r="C134" s="274"/>
    </row>
    <row r="135" spans="2:3" x14ac:dyDescent="0.25">
      <c r="B135" s="273"/>
      <c r="C135" s="274"/>
    </row>
    <row r="136" spans="2:3" x14ac:dyDescent="0.25">
      <c r="B136" s="273"/>
      <c r="C136" s="274"/>
    </row>
    <row r="137" spans="2:3" x14ac:dyDescent="0.25">
      <c r="B137" s="273"/>
      <c r="C137" s="274"/>
    </row>
    <row r="138" spans="2:3" x14ac:dyDescent="0.25">
      <c r="B138" s="273"/>
      <c r="C138" s="274"/>
    </row>
    <row r="139" spans="2:3" x14ac:dyDescent="0.25">
      <c r="B139" s="273"/>
      <c r="C139" s="274"/>
    </row>
    <row r="140" spans="2:3" x14ac:dyDescent="0.25">
      <c r="B140" s="273"/>
      <c r="C140" s="274"/>
    </row>
    <row r="141" spans="2:3" x14ac:dyDescent="0.25">
      <c r="B141" s="273"/>
      <c r="C141" s="274"/>
    </row>
    <row r="142" spans="2:3" x14ac:dyDescent="0.25">
      <c r="B142" s="273"/>
      <c r="C142" s="274"/>
    </row>
    <row r="143" spans="2:3" x14ac:dyDescent="0.25">
      <c r="B143" s="273"/>
      <c r="C143" s="274"/>
    </row>
    <row r="144" spans="2:3" x14ac:dyDescent="0.25">
      <c r="B144" s="273"/>
      <c r="C144" s="274"/>
    </row>
    <row r="145" spans="2:3" x14ac:dyDescent="0.25">
      <c r="B145" s="273"/>
      <c r="C145" s="274"/>
    </row>
    <row r="146" spans="2:3" x14ac:dyDescent="0.25">
      <c r="B146" s="273"/>
      <c r="C146" s="274"/>
    </row>
    <row r="147" spans="2:3" x14ac:dyDescent="0.25">
      <c r="B147" s="273"/>
      <c r="C147" s="274"/>
    </row>
    <row r="148" spans="2:3" x14ac:dyDescent="0.25">
      <c r="B148" s="273"/>
      <c r="C148" s="274"/>
    </row>
    <row r="149" spans="2:3" x14ac:dyDescent="0.25">
      <c r="B149" s="273"/>
      <c r="C149" s="274"/>
    </row>
    <row r="150" spans="2:3" x14ac:dyDescent="0.25">
      <c r="B150" s="273"/>
      <c r="C150" s="274"/>
    </row>
    <row r="151" spans="2:3" x14ac:dyDescent="0.25">
      <c r="B151" s="273"/>
      <c r="C151" s="274"/>
    </row>
    <row r="152" spans="2:3" x14ac:dyDescent="0.25">
      <c r="B152" s="273"/>
      <c r="C152" s="274"/>
    </row>
    <row r="153" spans="2:3" x14ac:dyDescent="0.25">
      <c r="B153" s="273"/>
      <c r="C153" s="274"/>
    </row>
  </sheetData>
  <mergeCells count="1">
    <mergeCell ref="D2:L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РПЗ</vt:lpstr>
      <vt:lpstr>РПЦЗ</vt:lpstr>
      <vt:lpstr>ПП</vt:lpstr>
      <vt:lpstr>Отчет РПЗ(ПЗ)_ПЗИП</vt:lpstr>
      <vt:lpstr>Отчет о ПП</vt:lpstr>
      <vt:lpstr>Сведения о ЗД</vt:lpstr>
      <vt:lpstr>Справочно</vt:lpstr>
      <vt:lpstr>Коды заказчиков</vt:lpstr>
      <vt:lpstr>Диапазон1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dc:creator>
  <cp:lastModifiedBy>Vlad</cp:lastModifiedBy>
  <cp:lastPrinted>2016-06-15T16:33:09Z</cp:lastPrinted>
  <dcterms:created xsi:type="dcterms:W3CDTF">2015-04-27T08:46:38Z</dcterms:created>
  <dcterms:modified xsi:type="dcterms:W3CDTF">2017-01-10T10:57:20Z</dcterms:modified>
</cp:coreProperties>
</file>